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ference (outdated)" sheetId="1" r:id="rId5"/>
    <sheet state="hidden" name="Shotguns (old)" sheetId="2" r:id="rId6"/>
    <sheet state="hidden" name="Snipers (old)" sheetId="3" r:id="rId7"/>
    <sheet state="hidden" name="Fusions (old)" sheetId="4" r:id="rId8"/>
    <sheet state="hidden" name="GLs (breech) (old)" sheetId="5" r:id="rId9"/>
    <sheet state="visible" name="Status" sheetId="6" r:id="rId10"/>
    <sheet state="visible" name="Changelog" sheetId="7" r:id="rId11"/>
    <sheet state="visible" name="Shopping List" sheetId="8" r:id="rId12"/>
    <sheet state="hidden" name="Archetypes (old)" sheetId="9" r:id="rId13"/>
    <sheet state="visible" name="Archetypes" sheetId="10" r:id="rId14"/>
    <sheet state="hidden" name="Ideas" sheetId="11" r:id="rId15"/>
    <sheet state="visible" name="Experimental" sheetId="12" r:id="rId16"/>
    <sheet state="visible" name="Autos" sheetId="13" r:id="rId17"/>
    <sheet state="visible" name="Bows" sheetId="14" r:id="rId18"/>
    <sheet state="visible" name="HCs" sheetId="15" r:id="rId19"/>
    <sheet state="visible" name="Pulses" sheetId="16" r:id="rId20"/>
    <sheet state="visible" name="Scouts" sheetId="17" r:id="rId21"/>
    <sheet state="visible" name="Sidearms" sheetId="18" r:id="rId22"/>
    <sheet state="visible" name="SMGs" sheetId="19" r:id="rId23"/>
    <sheet state="visible" name="BGLs" sheetId="20" r:id="rId24"/>
    <sheet state="visible" name="Fusions" sheetId="21" r:id="rId25"/>
    <sheet state="visible" name="Glaives" sheetId="22" r:id="rId26"/>
    <sheet state="visible" name="Shotguns" sheetId="23" r:id="rId27"/>
    <sheet state="visible" name="Snipers" sheetId="24" r:id="rId28"/>
    <sheet state="hidden" name="Glaives (old)" sheetId="25" r:id="rId29"/>
    <sheet state="hidden" name="LMGs (old)" sheetId="26" r:id="rId30"/>
    <sheet state="hidden" name="GLs (drum) (old)" sheetId="27" r:id="rId31"/>
    <sheet state="hidden" name="Swords (old)" sheetId="28" r:id="rId32"/>
    <sheet state="visible" name="Rocket Sidearms" sheetId="29" r:id="rId33"/>
    <sheet state="visible" name="Traces" sheetId="30" r:id="rId34"/>
    <sheet state="visible" name="HGLs" sheetId="31" r:id="rId35"/>
    <sheet state="visible" name="LFRs" sheetId="32" r:id="rId36"/>
    <sheet state="visible" name="LMGs" sheetId="33" r:id="rId37"/>
    <sheet state="visible" name="Rockets" sheetId="34" r:id="rId38"/>
    <sheet state="visible" name="Swords" sheetId="35" r:id="rId39"/>
    <sheet state="visible" name="Other" sheetId="36" r:id="rId40"/>
    <sheet state="hidden" name="Primaries" sheetId="37" r:id="rId41"/>
    <sheet state="visible" name="Exotic Weapons" sheetId="38" r:id="rId42"/>
    <sheet state="hidden" name="Exotic Armor (old)" sheetId="39" r:id="rId43"/>
    <sheet state="visible" name="Exotic Armor (ignore)" sheetId="40" r:id="rId44"/>
    <sheet state="visible" name="Builds (ignore)" sheetId="41" r:id="rId45"/>
    <sheet state="visible" name="Perks" sheetId="42" r:id="rId46"/>
    <sheet state="visible" name="Origin Traits" sheetId="43" r:id="rId47"/>
    <sheet state="visible" name="Set Bonuses" sheetId="44" r:id="rId48"/>
    <sheet state="visible" name="Fragments" sheetId="45" r:id="rId49"/>
    <sheet state="visible" name="Aspects" sheetId="46" r:id="rId50"/>
    <sheet state="hidden" name="Subclasses (Old)" sheetId="47" r:id="rId51"/>
    <sheet state="visible" name="Subclasses" sheetId="48" r:id="rId52"/>
    <sheet state="visible" name="Encounters" sheetId="49" r:id="rId53"/>
    <sheet state="hidden" name="Changelog (old)" sheetId="50" r:id="rId54"/>
  </sheets>
  <definedNames>
    <definedName hidden="1" localSheetId="0" name="_xlnm._FilterDatabase">'Reference (outdated)'!$A$1:$I$67</definedName>
    <definedName hidden="1" localSheetId="1" name="_xlnm._FilterDatabase">'Shotguns (old)'!$A$2:$O$44</definedName>
    <definedName hidden="1" localSheetId="2" name="_xlnm._FilterDatabase">'Snipers (old)'!$A$2:$N$41</definedName>
    <definedName hidden="1" localSheetId="3" name="_xlnm._FilterDatabase">'Fusions (old)'!$A$2:$O$31</definedName>
    <definedName hidden="1" localSheetId="4" name="_xlnm._FilterDatabase">'GLs (breech) (old)'!$A$2:$O$17</definedName>
    <definedName hidden="1" localSheetId="7" name="_xlnm._FilterDatabase">'Shopping List'!$A$1:$I$54</definedName>
    <definedName hidden="1" localSheetId="8" name="_xlnm._FilterDatabase">'Archetypes (old)'!$A$2:$U$81</definedName>
    <definedName hidden="1" localSheetId="9" name="_xlnm._FilterDatabase">Archetypes!$A$2:$AI$95</definedName>
    <definedName hidden="1" localSheetId="11" name="_xlnm._FilterDatabase">Experimental!$A$2:$U$80</definedName>
    <definedName hidden="1" localSheetId="12" name="_xlnm._FilterDatabase">Autos!$A$2:$O$63</definedName>
    <definedName hidden="1" localSheetId="13" name="_xlnm._FilterDatabase">Bows!$A$2:$O$30</definedName>
    <definedName hidden="1" localSheetId="14" name="_xlnm._FilterDatabase">HCs!$A$2:$O$70</definedName>
    <definedName hidden="1" localSheetId="15" name="_xlnm._FilterDatabase">Pulses!$A$2:$O$61</definedName>
    <definedName hidden="1" localSheetId="16" name="_xlnm._FilterDatabase">Scouts!$A$2:$O$50</definedName>
    <definedName hidden="1" localSheetId="17" name="_xlnm._FilterDatabase">Sidearms!$A$2:$O$40</definedName>
    <definedName hidden="1" localSheetId="18" name="_xlnm._FilterDatabase">SMGs!$A$2:$O$55</definedName>
    <definedName hidden="1" localSheetId="19" name="_xlnm._FilterDatabase">BGLs!$A$2:$O$36</definedName>
    <definedName hidden="1" localSheetId="20" name="_xlnm._FilterDatabase">Fusions!$A$2:$O$45</definedName>
    <definedName hidden="1" localSheetId="21" name="_xlnm._FilterDatabase">Glaives!$A$2:$P$16</definedName>
    <definedName hidden="1" localSheetId="22" name="_xlnm._FilterDatabase">Shotguns!$A$2:$O$62</definedName>
    <definedName hidden="1" localSheetId="23" name="_xlnm._FilterDatabase">Snipers!$A$2:$O$59</definedName>
    <definedName hidden="1" localSheetId="24" name="_xlnm._FilterDatabase">'Glaives (old)'!$A$2:$K$9</definedName>
    <definedName hidden="1" localSheetId="25" name="_xlnm._FilterDatabase">'LMGs (old)'!$A$2:$J$23</definedName>
    <definedName hidden="1" localSheetId="26" name="_xlnm._FilterDatabase">'GLs (drum) (old)'!$A$2:$I$20</definedName>
    <definedName hidden="1" localSheetId="27" name="_xlnm._FilterDatabase">'Swords (old)'!$A$2:$J$27</definedName>
    <definedName hidden="1" localSheetId="28" name="_xlnm._FilterDatabase">'Rocket Sidearms'!$A$2:$N$10</definedName>
    <definedName hidden="1" localSheetId="29" name="_xlnm._FilterDatabase">Traces!$A$2:$N$14</definedName>
    <definedName hidden="1" localSheetId="30" name="_xlnm._FilterDatabase">HGLs!$A$2:$O$28</definedName>
    <definedName hidden="1" localSheetId="31" name="_xlnm._FilterDatabase">LFRs!$A$2:$O$21</definedName>
    <definedName hidden="1" localSheetId="32" name="_xlnm._FilterDatabase">LMGs!$A$2:$O$38</definedName>
    <definedName hidden="1" localSheetId="33" name="_xlnm._FilterDatabase">Rockets!$A$2:$O$36</definedName>
    <definedName hidden="1" localSheetId="34" name="_xlnm._FilterDatabase">Swords!$A$2:$P$43</definedName>
    <definedName hidden="1" localSheetId="35" name="_xlnm._FilterDatabase">Other!$A$2:$O$10</definedName>
    <definedName hidden="1" localSheetId="36" name="_xlnm._FilterDatabase">Primaries!$A$2:$L$20</definedName>
    <definedName hidden="1" localSheetId="37" name="_xlnm._FilterDatabase">'Exotic Weapons'!$A$2:$N$143</definedName>
    <definedName hidden="1" localSheetId="38" name="_xlnm._FilterDatabase">'Exotic Armor (old)'!$A$2:$O$43</definedName>
    <definedName hidden="1" localSheetId="39" name="_xlnm._FilterDatabase">'Exotic Armor (ignore)'!$A$1:$E$124</definedName>
    <definedName hidden="1" localSheetId="41" name="_xlnm._FilterDatabase">Perks!$A$2:$J$230</definedName>
    <definedName hidden="1" localSheetId="42" name="_xlnm._FilterDatabase">'Origin Traits'!$A$2:$J$83</definedName>
    <definedName hidden="1" localSheetId="43" name="_xlnm._FilterDatabase">'Set Bonuses'!$A$2:$L$114</definedName>
    <definedName hidden="1" localSheetId="44" name="_xlnm._FilterDatabase">Fragments!$A$2:$H$101</definedName>
    <definedName hidden="1" localSheetId="45" name="_xlnm._FilterDatabase">Aspects!$A$2:$I$62</definedName>
    <definedName hidden="1" localSheetId="46" name="_xlnm._FilterDatabase">'Subclasses (Old)'!$A$1:$M$19</definedName>
    <definedName hidden="1" localSheetId="47" name="_xlnm._FilterDatabase">Subclasses!$A$2:$AV$20</definedName>
    <definedName hidden="1" localSheetId="48" name="_xlnm._FilterDatabase">Encounters!$A$2:$P$56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Only perks that are irreplaceable count towards score
Swapping: 0.5
Ammo: 0.5
Reload: 1
Damage: 1 (-1 if None)
-0.5 if not on the correct archetype (i.e. One-Two Punch aggressive)</t>
      </text>
    </comment>
    <comment authorId="0" ref="L1">
      <text>
        <t xml:space="preserve">2 if best in slot
1 if acceptable alternative
0 if not comparable</t>
      </text>
    </comment>
    <comment authorId="0" ref="J12">
      <text>
        <t xml:space="preserve">1.5 for Recombination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Fourth Time's the Charm - 2
else - 1</t>
      </text>
    </comment>
    <comment authorId="0" ref="G1">
      <text>
        <t xml:space="preserve">Perks penalized with -1 if in the wrong column</t>
      </text>
    </comment>
    <comment authorId="0" ref="H2">
      <text>
        <t xml:space="preserve">Rewind Rounds, Reconstruction - 1
else - 0.5</t>
      </text>
    </comment>
    <comment authorId="0" ref="I2">
      <text>
        <t xml:space="preserve">Firing Line, Bait and Switch, Kinetic Tremors - 2
else - 1
no damage perks - -1</t>
      </text>
    </comment>
    <comment authorId="0" ref="K1">
      <text>
        <t xml:space="preserve">2 if best in slot
1 if acceptable alternative
0 if not comparable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-1 if utility + high-impact
+0.5 if utility + rapid</t>
      </text>
    </comment>
    <comment authorId="0" ref="G2">
      <text>
        <t xml:space="preserve">base - 0.5</t>
      </text>
    </comment>
    <comment authorId="0" ref="G1">
      <text>
        <t xml:space="preserve">Perks penalized with -1 if in the wrong column</t>
      </text>
    </comment>
    <comment authorId="0" ref="H2">
      <text>
        <t xml:space="preserve">overflow perks - 2
ALH - 1
else - 0.5</t>
      </text>
    </comment>
    <comment authorId="0" ref="I2">
      <text>
        <t xml:space="preserve">chill clip - 1
else - 0.5</t>
      </text>
    </comment>
    <comment authorId="0" ref="J2">
      <text>
        <t xml:space="preserve">controlled burst - 2
reservoir burst - 1.5
else - 1
surrounded, cornered, hir - 0.5
none - -1</t>
      </text>
    </comment>
    <comment authorId="0" ref="L1">
      <text>
        <t xml:space="preserve">2 if best in slot
1 if acceptable alternative
0 if not comparable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+1 if solar and lightweight
+1 if kinetic</t>
      </text>
    </comment>
    <comment authorId="0" ref="G2">
      <text>
        <t xml:space="preserve">base - 0.5</t>
      </text>
    </comment>
    <comment authorId="0" ref="G1">
      <text>
        <t xml:space="preserve">Perks penalized with -1 if in the wrong column</t>
      </text>
    </comment>
    <comment authorId="0" ref="H2">
      <text>
        <t xml:space="preserve">ambitious assassin (splash) - 2 
ambitious assassin (damage) - 0
slideshot - 2
auto-loading holster (damage) - 2
else - 1</t>
      </text>
    </comment>
    <comment authorId="0" ref="I2">
      <text>
        <t xml:space="preserve">chain reaction, chill clip - 2
unrelenting (wave) - 1
danger zone - 0
voltshot - 0
else - 1</t>
      </text>
    </comment>
    <comment authorId="0" ref="J2">
      <text>
        <t xml:space="preserve">base - 1</t>
      </text>
    </comment>
    <comment authorId="0" ref="L1">
      <text>
        <t xml:space="preserve">2 if best in slot
1 if acceptable alternative
0 if not comparable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">
      <text>
        <t xml:space="preserve">Base reload of archetype examples, averaged across all from season 12 onward (from @mario_will_die)</t>
      </text>
    </comment>
    <comment authorId="0" ref="E2">
      <text>
        <t xml:space="preserve">Scalar data from https://docs.google.com/spreadsheets/d/1b57Hb8m1L3daFfUckQQqvvN6VOpD03KEssvQLMFpC5I/</t>
      </text>
    </comment>
    <comment authorId="0" ref="S80">
      <text>
        <t xml:space="preserve">12 mag</t>
      </text>
    </comment>
    <comment authorId="0" ref="F2">
      <text>
        <t xml:space="preserve">Scalar data from https://docs.google.com/spreadsheets/d/1b57Hb8m1L3daFfUckQQqvvN6VOpD03KEssvQLMFpC5I/</t>
      </text>
    </comment>
    <comment authorId="0" ref="G2">
      <text>
        <t xml:space="preserve">Primary data extrapolated from https://docs.google.com/spreadsheets/d/1x12Ar1-kHH2AzHY8Clkv-PIMxxDSZrIX3e4xiJuQ-uI/</t>
      </text>
    </comment>
    <comment authorId="0" ref="P2">
      <text>
        <t xml:space="preserve">regular brick average + scavenger mod, brick math from https://docs.google.com/spreadsheets/d/1l3xBHFa6ZMe86e13segg8f-RB8vLNerYEgNC_Aq3kLc/</t>
      </text>
    </comment>
    <comment authorId="0" ref="Q2">
      <text>
        <t xml:space="preserve">regular brick average + scavenger mod, brick math from https://docs.google.com/spreadsheets/d/1l3xBHFa6ZMe86e13segg8f-RB8vLNerYEgNC_Aq3kLc/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Tableau viz:
https://public.tableau.com/app/profile/theaegisrelic/viz/ArchetypeDamageAnalysis/boss</t>
      </text>
    </comment>
    <comment authorId="0" ref="H2">
      <text>
        <t xml:space="preserve">Taken from https://docs.google.com/spreadsheets/d/1b57Hb8m1L3daFfUckQQqvvN6VOpD03KEssvQLMFpC5I/edit?gid=933547097#gid=933547097</t>
      </text>
    </comment>
    <comment authorId="0" ref="I2">
      <text>
        <t xml:space="preserve">Taken from https://docs.google.com/spreadsheets/d/1b57Hb8m1L3daFfUckQQqvvN6VOpD03KEssvQLMFpC5I/edit?gid=933547097#gid=933547097</t>
      </text>
    </comment>
    <comment authorId="0" ref="AB21">
      <text>
        <t xml:space="preserve">800ms reload cancel</t>
      </text>
    </comment>
    <comment authorId="0" ref="AB20">
      <text>
        <t xml:space="preserve">reload canceling SUCKS</t>
      </text>
    </comment>
    <comment authorId="0" ref="K2">
      <text>
        <t xml:space="preserve">typical mag + Backup Mag</t>
      </text>
    </comment>
    <comment authorId="0" ref="AB82">
      <text>
        <t xml:space="preserve">reload canceling = max fire rate</t>
      </text>
    </comment>
    <comment authorId="0" ref="AB17">
      <text>
        <t xml:space="preserve">reload canceling = max fire rate</t>
      </text>
    </comment>
    <comment authorId="0" ref="AB49">
      <text>
        <t xml:space="preserve">reload canceling = max fire rate</t>
      </text>
    </comment>
    <comment authorId="0" ref="N2">
      <text>
        <t xml:space="preserve">1x Loader, Flared Magwell, reload MW for primaries
1x Loader, 100 Weapons, generally no modifying heatsink
eventually will migrate heat weapons to be overheat -&gt; 0% for typical, perfect -&gt; 0% for max</t>
      </text>
    </comment>
    <comment authorId="0" ref="AB48">
      <text>
        <t xml:space="preserve">800ms reload cancel</t>
      </text>
    </comment>
    <comment authorId="0" ref="L94">
      <text>
        <t xml:space="preserve">0.833s loose</t>
      </text>
    </comment>
    <comment authorId="0" ref="Q2">
      <text>
        <t xml:space="preserve">Flared Magwell + Backup Mag for primaries, otherwise generally optimal choices for other weapon types (Impact Casing, etc.)</t>
      </text>
    </comment>
    <comment authorId="0" ref="S2">
      <text>
        <t xml:space="preserve">enhanced brick max with scavenger, sourced from https://docs.google.com/spreadsheets/d/1_tvs7C8p5GrCC06AqFvbweOTrVSVHLfu27Cmuu1jBPw/edit?gid=1283839198#gid=1283839198</t>
      </text>
    </comment>
    <comment authorId="0" ref="F53">
      <text>
        <t xml:space="preserve">uses Bequest value, which is 10.2% higher than normal adaptives</t>
      </text>
    </comment>
    <comment authorId="0" ref="P93">
      <text>
        <t xml:space="preserve">Displayed, actually below 500</t>
      </text>
    </comment>
    <comment authorId="0" ref="V95">
      <text>
        <t xml:space="preserve">12 spam numbers for consistency</t>
      </text>
    </comment>
    <comment authorId="0" ref="N51">
      <text>
        <t xml:space="preserve">uses Alloy Mag</t>
      </text>
    </comment>
    <comment authorId="0" ref="V90">
      <text>
        <t xml:space="preserve">reload canceling worse than mag dumping then reloading fully</t>
      </text>
    </comment>
    <comment authorId="0" ref="AE2">
      <text>
        <t xml:space="preserve">regular brick average + scavenger mod, brick math from https://docs.google.com/spreadsheets/d/1l3xBHFa6ZMe86e13segg8f-RB8vLNerYEgNC_Aq3kLc/</t>
      </text>
    </comment>
    <comment authorId="0" ref="Q84">
      <text>
        <t xml:space="preserve">Enhanced Heatsink but no mod</t>
      </text>
    </comment>
    <comment authorId="0" ref="AF2">
      <text>
        <t xml:space="preserve">regular brick average + scavenger mod, brick math from https://docs.google.com/spreadsheets/d/1l3xBHFa6ZMe86e13segg8f-RB8vLNerYEgNC_Aq3kLc/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18 Heat Generated
20 Cooling Efficiency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100 Heat Generated
80 Cooling Efficiency</t>
      </text>
    </comment>
    <comment authorId="0" ref="E20">
      <text>
        <t xml:space="preserve">140rpm with 180rpm recoil</t>
      </text>
    </comment>
    <comment authorId="0" ref="E25">
      <text>
        <t xml:space="preserve">140rpm with 180rpm recoil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4">
      <text>
        <t xml:space="preserve">30 Heat Generated
42 Cooling Efficiency</t>
      </text>
    </comment>
    <comment authorId="0" ref="F9">
      <text>
        <t xml:space="preserve">18 Heat Generated
20 Cooling Efficiency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50 Heat Generated
40 Cooling Efficiency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90 Heat Generated
90 Cooling Efficiency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18 Heat Generated
20 Cooling Efficiency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560 Heat Generated
290 Cooling Efficiency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base - 0.5</t>
      </text>
    </comment>
    <comment authorId="0" ref="E1">
      <text>
        <t xml:space="preserve">Perks penalized with -1 if in the wrong column</t>
      </text>
    </comment>
    <comment authorId="0" ref="F2">
      <text>
        <t xml:space="preserve">grave - 2
alh - 2
replenishing - 2
base - 1</t>
      </text>
    </comment>
    <comment authorId="0" ref="G2">
      <text>
        <t xml:space="preserve">immovable - 2
base - 1
</t>
      </text>
    </comment>
    <comment authorId="0" ref="H2">
      <text>
        <t xml:space="preserve">close to melee - 3
frenzy - 2
base - 1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field, tt, envious - 1
rewind, sub, alh, fttc - 2
recon - 3</t>
      </text>
    </comment>
    <comment authorId="0" ref="E1">
      <text>
        <t xml:space="preserve">Perks penalized with -1 if in the wrong column</t>
      </text>
    </comment>
    <comment authorId="0" ref="F2">
      <text>
        <t xml:space="preserve">wellspring, hatchling, headstone, voltshot, pugilist - 1
repulsor, dragonfly, firefly, destab - 2
demo, incand - 3
(demo = 2 if in damage col)</t>
      </text>
    </comment>
    <comment authorId="0" ref="G2">
      <text>
        <t xml:space="preserve">base - 1
junkie, ofa, cascade, tricorn, logic - 2
tally - 3
target lock only on rapids</t>
      </text>
    </comment>
    <comment authorId="0" ref="H2">
      <text>
        <t xml:space="preserve">-1 if no reload perk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clown 1
demo 1
field 2
alh 2
recon 2
envious 3
ignores reload perks in 4th column</t>
      </text>
    </comment>
    <comment authorId="0" ref="E1">
      <text>
        <t xml:space="preserve">Perks penalized with -1 if in the wrong column</t>
      </text>
    </comment>
    <comment authorId="0" ref="F2">
      <text>
        <t xml:space="preserve">frenzy 1
vorpal 1
full court 1
el 2
cascade 3
bns 3
surrounded 3
no perk -1</t>
      </text>
    </comment>
    <comment authorId="0" ref="G2">
      <text>
        <t xml:space="preserve">-1 if no reload perk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relentless - 2</t>
      </text>
    </comment>
    <comment authorId="0" ref="E1">
      <text>
        <t xml:space="preserve">Perks penalized with -1 if in the wrong column</t>
      </text>
    </comment>
    <comment authorId="0" ref="F2">
      <text>
        <t xml:space="preserve">eager edge - 3</t>
      </text>
    </comment>
    <comment authorId="0" ref="G2">
      <text>
        <t xml:space="preserve">vorpal weapon - 1
frenzy - 1.5
whirlwind blade - 2
surrounded - 3
e. surrounded - 3.5
-1 if none unless Eager</t>
      </text>
    </comment>
    <comment authorId="0" ref="H2">
      <text>
        <t xml:space="preserve">-1 if no reload perk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2">
      <text>
        <t xml:space="preserve">10 Heat Generated
10 Cooling Efficiency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70 impact instead of usual 60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140 Heat Generated
100 Cooling Efficiency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Slice/Hatchling Aisha's Care also interesting</t>
      </text>
    </comment>
    <comment authorId="0" ref="L9">
      <text>
        <t xml:space="preserve">Heal Clip/Incandescent Luna's Howl, Dragonfly/Voltshot Yesterday's Question, Repulsor/Destabilizing Maahes HC4, and Destabilizing/Explosive Ancient Gospel also good</t>
      </text>
    </comment>
    <comment authorId="0" ref="L6">
      <text>
        <t xml:space="preserve">Repulsor/Destabilizing Fortunate Star also good</t>
      </text>
    </comment>
    <comment authorId="0" ref="L4">
      <text>
        <t xml:space="preserve">Repulsor/Destablizing The Riposte, Destabilizing/OFA Reckless Oracle, and Eddy Current/Jolting Feedback VS Pyroelectric Propellant are good too</t>
      </text>
    </comment>
    <comment authorId="0" ref="L16">
      <text>
        <t xml:space="preserve">Staccato-47 with Shoot to Loot/Explosive also an option</t>
      </text>
    </comment>
    <comment authorId="0" ref="L15">
      <text>
        <t xml:space="preserve">Trustee with Reconstruction/Incandescent good too</t>
      </text>
    </comment>
    <comment authorId="0" ref="L13">
      <text>
        <t xml:space="preserve">Corrasion with Enlightened Action/Voltshot and Darkest Before with Heal Clip/Incandescent also good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N: neutral
S: swap
H: hybrid
M: movement</t>
      </text>
    </comment>
    <comment authorId="0" ref="F1">
      <text>
        <t xml:space="preserve">Exotic effect potency, within type context</t>
      </text>
    </comment>
    <comment authorId="0" ref="G1">
      <text>
        <t xml:space="preserve">Loadout flexibility</t>
      </text>
    </comment>
    <comment authorId="0" ref="H1">
      <text>
        <t xml:space="preserve">Potential for optimal play under time pressure</t>
      </text>
    </comment>
    <comment authorId="0" ref="I1">
      <text>
        <t xml:space="preserve">Boss damage use</t>
      </text>
    </comment>
    <comment authorId="0" ref="J1">
      <text>
        <t xml:space="preserve">Low power content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Most recently reintroduced</t>
      </text>
    </comment>
    <comment authorId="0" ref="E24">
      <text>
        <t xml:space="preserve">auto: 16/12
pulse: 15/11
SMG: 19/14?
GL: 4/3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exemplary weapons that showcase origin trait effects</t>
      </text>
    </comment>
  </commentList>
</comments>
</file>

<file path=xl/sharedStrings.xml><?xml version="1.0" encoding="utf-8"?>
<sst xmlns="http://schemas.openxmlformats.org/spreadsheetml/2006/main" count="25248" uniqueCount="7629">
  <si>
    <t>Ammo</t>
  </si>
  <si>
    <t>Weapon</t>
  </si>
  <si>
    <t>Archetype</t>
  </si>
  <si>
    <t>Shot</t>
  </si>
  <si>
    <t>Cycle</t>
  </si>
  <si>
    <t>Count</t>
  </si>
  <si>
    <t>DPS</t>
  </si>
  <si>
    <t>Total</t>
  </si>
  <si>
    <t>Range</t>
  </si>
  <si>
    <t>Power</t>
  </si>
  <si>
    <t>GL (drum)</t>
  </si>
  <si>
    <t>Compressed Wave</t>
  </si>
  <si>
    <t>N/A</t>
  </si>
  <si>
    <t>Adaptive</t>
  </si>
  <si>
    <t>Rapid</t>
  </si>
  <si>
    <t>LFR</t>
  </si>
  <si>
    <t>Aggressive</t>
  </si>
  <si>
    <t>Precision</t>
  </si>
  <si>
    <t>LMG</t>
  </si>
  <si>
    <t>High Impact</t>
  </si>
  <si>
    <t>Rocket</t>
  </si>
  <si>
    <t>Sword</t>
  </si>
  <si>
    <t>Caster</t>
  </si>
  <si>
    <t>?</t>
  </si>
  <si>
    <t>Lightweight</t>
  </si>
  <si>
    <t>Vortex</t>
  </si>
  <si>
    <t>Primary</t>
  </si>
  <si>
    <t>Auto Rifle</t>
  </si>
  <si>
    <t>Bow</t>
  </si>
  <si>
    <t>Hand Cannon</t>
  </si>
  <si>
    <t>Heavy Burst</t>
  </si>
  <si>
    <t>Pulse Rifle</t>
  </si>
  <si>
    <t>Aggressive Burst</t>
  </si>
  <si>
    <t>Legacy PR-55</t>
  </si>
  <si>
    <t>Scout Rifle</t>
  </si>
  <si>
    <t>Sidearm</t>
  </si>
  <si>
    <t>SMG</t>
  </si>
  <si>
    <t>Special</t>
  </si>
  <si>
    <t>Fusion</t>
  </si>
  <si>
    <t>GL (breech)</t>
  </si>
  <si>
    <t>Wave</t>
  </si>
  <si>
    <t>Double Fire</t>
  </si>
  <si>
    <t>Shotgun</t>
  </si>
  <si>
    <t>Slug</t>
  </si>
  <si>
    <t>Rocket-Assisted</t>
  </si>
  <si>
    <t>Sniper</t>
  </si>
  <si>
    <t>Trace Rifle</t>
  </si>
  <si>
    <t>WEAPON</t>
  </si>
  <si>
    <t>ARCHETYPE</t>
  </si>
  <si>
    <t>AFFINITY</t>
  </si>
  <si>
    <t>RELEVANT PERKS</t>
  </si>
  <si>
    <t>COMPETITION</t>
  </si>
  <si>
    <t>TOTAL</t>
  </si>
  <si>
    <t>Icon</t>
  </si>
  <si>
    <t>Name</t>
  </si>
  <si>
    <t>Frame</t>
  </si>
  <si>
    <t>Score</t>
  </si>
  <si>
    <t>Type</t>
  </si>
  <si>
    <t>Swapping</t>
  </si>
  <si>
    <t>Reload</t>
  </si>
  <si>
    <t>Damage</t>
  </si>
  <si>
    <t>Role</t>
  </si>
  <si>
    <t>Final</t>
  </si>
  <si>
    <t>Tier</t>
  </si>
  <si>
    <t>Dead Weight</t>
  </si>
  <si>
    <t>Arc</t>
  </si>
  <si>
    <t>Ensemble, Surplus</t>
  </si>
  <si>
    <t>Field Prep, Lead from Gold</t>
  </si>
  <si>
    <t>Grave Robber, Auto-Loading Holster</t>
  </si>
  <si>
    <t>Surrounded, Frenzy, One-Two Punch, Trench Barrel, Vorpal Weapon</t>
  </si>
  <si>
    <t>Energy utility</t>
  </si>
  <si>
    <t>S</t>
  </si>
  <si>
    <t>IKELOS_SG_V1.0.3</t>
  </si>
  <si>
    <t>Solar</t>
  </si>
  <si>
    <t>Threat Detector</t>
  </si>
  <si>
    <t>None</t>
  </si>
  <si>
    <t>Grave Robber</t>
  </si>
  <si>
    <t>Vorpal Weapon, Surrounded, Cascade Point, One-Two Punch, Trench Barrel</t>
  </si>
  <si>
    <t>Xenoclast IV</t>
  </si>
  <si>
    <t>Surplus</t>
  </si>
  <si>
    <t>Lead from Gold, Field Prep</t>
  </si>
  <si>
    <t>One-Two Punch, Trench Barrel, Vorpal Weapon, Surrounded</t>
  </si>
  <si>
    <t>Until Its Return</t>
  </si>
  <si>
    <t>Strand</t>
  </si>
  <si>
    <t>Ensemble, Threat Detector</t>
  </si>
  <si>
    <t>Auto-Loading Holster</t>
  </si>
  <si>
    <t>Trench Barrel, Cascade Point, Surrounded, Vorpal Weapon</t>
  </si>
  <si>
    <t>Kinetic utility</t>
  </si>
  <si>
    <t>One Small Step</t>
  </si>
  <si>
    <t>Kinetic</t>
  </si>
  <si>
    <t>Lead from Gold</t>
  </si>
  <si>
    <t>One-Two Punch, Trench Barrel</t>
  </si>
  <si>
    <t>A</t>
  </si>
  <si>
    <t>The Deicide</t>
  </si>
  <si>
    <t>Void</t>
  </si>
  <si>
    <t>One-Two Punch, Vorpal Weapon</t>
  </si>
  <si>
    <t>Basso Ostinato</t>
  </si>
  <si>
    <t>Grave Robber, Envious Assassin</t>
  </si>
  <si>
    <t>Trench Barrel, One-Two Punch</t>
  </si>
  <si>
    <t>Fortissimo-11</t>
  </si>
  <si>
    <t>Surplus, Threat Detector</t>
  </si>
  <si>
    <t>Lead from Gold, Fourth Time's the Charm</t>
  </si>
  <si>
    <t>Focused Fury, Frenzy, Surrounded, Vorpal Weapon</t>
  </si>
  <si>
    <t>Kinetic utility
Kinetic swap</t>
  </si>
  <si>
    <t>Imperial Decree</t>
  </si>
  <si>
    <t>Threat Detector, Surplus</t>
  </si>
  <si>
    <t>Surrounded, Trench Barrel</t>
  </si>
  <si>
    <t>Kinetic swap</t>
  </si>
  <si>
    <t>Heritage</t>
  </si>
  <si>
    <t>Reconstruction, Auto-Loading Holster</t>
  </si>
  <si>
    <t>Recombination, Focused Fury</t>
  </si>
  <si>
    <t>Ragnhild-D</t>
  </si>
  <si>
    <t>Ensemble</t>
  </si>
  <si>
    <t>One-Two Punch, Frenzy</t>
  </si>
  <si>
    <t>The Comedian</t>
  </si>
  <si>
    <t>Trench Barrel, Vorpal Weapon</t>
  </si>
  <si>
    <t>Energy swap</t>
  </si>
  <si>
    <t>Seventh Seraph CQC-12</t>
  </si>
  <si>
    <t>Quickdraw</t>
  </si>
  <si>
    <t>Vorpal Weapon, Trench Barrel</t>
  </si>
  <si>
    <t>B</t>
  </si>
  <si>
    <t>Sojourner's Tale</t>
  </si>
  <si>
    <t>Threat Detector, Quickdraw</t>
  </si>
  <si>
    <t>Frenzy, Surrounded</t>
  </si>
  <si>
    <t>A Sudden Death</t>
  </si>
  <si>
    <t>Field Prep</t>
  </si>
  <si>
    <t>Frenzy, One-Two Punch, Surrounded</t>
  </si>
  <si>
    <t>Astral Horizon</t>
  </si>
  <si>
    <t>One-Two Punch, Vorpal Weapon, Cascade Point</t>
  </si>
  <si>
    <t>Mindbender's Ambition</t>
  </si>
  <si>
    <t>Wastelander M5</t>
  </si>
  <si>
    <t>One-Two Punch, Trench Barrel, Vorpal Weapon</t>
  </si>
  <si>
    <t>Without Remorse</t>
  </si>
  <si>
    <t>Found Verdict</t>
  </si>
  <si>
    <t>Rewind Rounds, Auto-Loading Holster</t>
  </si>
  <si>
    <t>One-Two Punch, Frenzy, Vorpal Weapon</t>
  </si>
  <si>
    <t>C</t>
  </si>
  <si>
    <t>Hand in Hand</t>
  </si>
  <si>
    <t>Trench Barrel, Cascade Point, One-Two Punch</t>
  </si>
  <si>
    <t>Riiswalker</t>
  </si>
  <si>
    <t>Quickdraw, Surplus</t>
  </si>
  <si>
    <t>Vorpal Weapon</t>
  </si>
  <si>
    <t>Deadpan Delivery</t>
  </si>
  <si>
    <t>One-Two Punch, Frenzy, Trench Barrel</t>
  </si>
  <si>
    <t>Felwinter's Lie</t>
  </si>
  <si>
    <t>Nessa's Oblation</t>
  </si>
  <si>
    <t>Fourth Time's the Charm</t>
  </si>
  <si>
    <t>Envious Assassin, Reconstruction</t>
  </si>
  <si>
    <t>Frenzy, Vorpal Weapon, Focused Fury</t>
  </si>
  <si>
    <t>Swordbreaker</t>
  </si>
  <si>
    <t>Surrounded, One-Two Punch</t>
  </si>
  <si>
    <t>Compass Rose</t>
  </si>
  <si>
    <t>Surplus, Quickdraw</t>
  </si>
  <si>
    <t>Trench Barrel, Vorpal Weapon, Cascade Point</t>
  </si>
  <si>
    <t>First In, Last Out</t>
  </si>
  <si>
    <t>Vorpal Weapon, Surrounded</t>
  </si>
  <si>
    <t>No Reprieve</t>
  </si>
  <si>
    <t>Stasis</t>
  </si>
  <si>
    <t>Triple Tap</t>
  </si>
  <si>
    <t>Surrounded, Focused Fury</t>
  </si>
  <si>
    <t>Wishbringer</t>
  </si>
  <si>
    <t>Gunnora's Axe</t>
  </si>
  <si>
    <t>Slickdraw, Threat Detector, Surplus</t>
  </si>
  <si>
    <t>Retold Tale</t>
  </si>
  <si>
    <t>One-Two Punch, Surrounded, Vorpal Weapon</t>
  </si>
  <si>
    <t>Last Man Standing</t>
  </si>
  <si>
    <t>One-Two Punch</t>
  </si>
  <si>
    <t>D</t>
  </si>
  <si>
    <t>Toil and Trouble</t>
  </si>
  <si>
    <t>Bonechiller</t>
  </si>
  <si>
    <t>Lead from Gold, Triple Tap</t>
  </si>
  <si>
    <t>Retrofuturist</t>
  </si>
  <si>
    <t>Trench Barrel</t>
  </si>
  <si>
    <t>Blasphemer</t>
  </si>
  <si>
    <t>Quickdraw, Threat Detector, Surplus</t>
  </si>
  <si>
    <t>Reckless Endangerment</t>
  </si>
  <si>
    <t>Fractethyst</t>
  </si>
  <si>
    <t>Quickdraw, Ensemble</t>
  </si>
  <si>
    <t>Matador 64</t>
  </si>
  <si>
    <t>Prophet of Doom</t>
  </si>
  <si>
    <t>The Inquisitor</t>
  </si>
  <si>
    <t>PERKS</t>
  </si>
  <si>
    <t>The Supremacy</t>
  </si>
  <si>
    <t>Rewind Rounds</t>
  </si>
  <si>
    <t>Focused Fury, Kinetic Tremors, Vorpal Weapon, Bait and Switch</t>
  </si>
  <si>
    <t>Succession</t>
  </si>
  <si>
    <t>Reconstruction</t>
  </si>
  <si>
    <t>Vorpal Weapon, Recombination, Focused Fury, Firing Line</t>
  </si>
  <si>
    <t>Distant Tumulus</t>
  </si>
  <si>
    <t>Clown Cartridge</t>
  </si>
  <si>
    <t>Firing Line</t>
  </si>
  <si>
    <t>Energy</t>
  </si>
  <si>
    <t>Irukandji</t>
  </si>
  <si>
    <t>Envious Assassin, Shoot to Loot, Veist Stinger</t>
  </si>
  <si>
    <t>Focused Fury, Firing Line</t>
  </si>
  <si>
    <t>IKELOS_SR_V1.0.3</t>
  </si>
  <si>
    <t>Overflow</t>
  </si>
  <si>
    <t>High-Impact Reserves, Focused Fury</t>
  </si>
  <si>
    <t>Last Foray</t>
  </si>
  <si>
    <t>Envious Assassin</t>
  </si>
  <si>
    <t>Cascade Point, Frenzy, Focused Fury</t>
  </si>
  <si>
    <t>Luna Regolith III</t>
  </si>
  <si>
    <t>Field Prep, Triple Tap</t>
  </si>
  <si>
    <t>Clown Cartridge, Shoot to Loot</t>
  </si>
  <si>
    <t>High Ground, Firing Line, Cascade Point</t>
  </si>
  <si>
    <t>Volta Bracket</t>
  </si>
  <si>
    <t>Envious Assassin, Shoot to Loot</t>
  </si>
  <si>
    <t>Cascade Point, Firing Line, Nanotech Tracer Missiles</t>
  </si>
  <si>
    <t>Father's Sins</t>
  </si>
  <si>
    <t>Lead from Gold, Field Prep, Triple Tap</t>
  </si>
  <si>
    <t>Shoot to Loot</t>
  </si>
  <si>
    <t>Focused Fury</t>
  </si>
  <si>
    <t>Albruna-D</t>
  </si>
  <si>
    <t>Firing Line, Vorpal Weapon, Frenzy, High-Impact Reserves, Cascade Point</t>
  </si>
  <si>
    <t>Praedyth's Revenge</t>
  </si>
  <si>
    <t>Frenzy, High-Impact Reserves</t>
  </si>
  <si>
    <t>Silicon Neuroma</t>
  </si>
  <si>
    <t>Firing Line, Focused Fury, Frenzy</t>
  </si>
  <si>
    <t>The Long Walk</t>
  </si>
  <si>
    <t>Overflow, Clown Cartridge</t>
  </si>
  <si>
    <t>Firing Line, Frenzy</t>
  </si>
  <si>
    <t>Twilight Oath</t>
  </si>
  <si>
    <t>A Distant Pull</t>
  </si>
  <si>
    <t>Frozen Orbit</t>
  </si>
  <si>
    <t>Triple Tap, Lead from Gold</t>
  </si>
  <si>
    <t>Clown Cartridge, Auto-Loading Holster</t>
  </si>
  <si>
    <t>High-Impact Reserves, Vorpal Weapon</t>
  </si>
  <si>
    <t>Fugue-55</t>
  </si>
  <si>
    <t>Fourth Time's the Charm, Lead from Gold</t>
  </si>
  <si>
    <t>Focused Fury, Vorpal Weapon, Firing Line</t>
  </si>
  <si>
    <t>Defiance of Yasmin</t>
  </si>
  <si>
    <t>Shoot to Loot, Runneth Over</t>
  </si>
  <si>
    <t>Firing Line, Vorpal Weapon, Focused Fury</t>
  </si>
  <si>
    <t>Occluded Finality</t>
  </si>
  <si>
    <t>Vorpal Weapon, Firing Line</t>
  </si>
  <si>
    <t>Tranquility</t>
  </si>
  <si>
    <t>Shepherd's Watch</t>
  </si>
  <si>
    <t>Sole Survivor</t>
  </si>
  <si>
    <t>Focused Fury, Firing Line, Vorpal Weapon, Frenzy</t>
  </si>
  <si>
    <t>Bite of the Fox</t>
  </si>
  <si>
    <t>Mechabre</t>
  </si>
  <si>
    <t>Auto-Loading Holster, Clown Cartridge</t>
  </si>
  <si>
    <t>Persuader</t>
  </si>
  <si>
    <t>High Ground</t>
  </si>
  <si>
    <t>Uzume RR4</t>
  </si>
  <si>
    <t>Widow's Bite</t>
  </si>
  <si>
    <t>Far Future</t>
  </si>
  <si>
    <t>Frenzy</t>
  </si>
  <si>
    <t>Locus Locutus</t>
  </si>
  <si>
    <t>Firing Line, High Ground</t>
  </si>
  <si>
    <t>Thoughtless</t>
  </si>
  <si>
    <t>Apostate</t>
  </si>
  <si>
    <t>Omniscient Eye</t>
  </si>
  <si>
    <t>Adored</t>
  </si>
  <si>
    <t>Beloved</t>
  </si>
  <si>
    <t>Eye of Sol</t>
  </si>
  <si>
    <t>Vorpal Weapon, High-Impact Reserves, Focused Fury</t>
  </si>
  <si>
    <t>Gallu RR3</t>
  </si>
  <si>
    <t>Overflow, Shoot to Loot</t>
  </si>
  <si>
    <t>Long Shadow</t>
  </si>
  <si>
    <t>Mercurial Overreach</t>
  </si>
  <si>
    <t>1000 Yard Stare</t>
  </si>
  <si>
    <t>Utility</t>
  </si>
  <si>
    <t>The Eremite</t>
  </si>
  <si>
    <t>High-Impact</t>
  </si>
  <si>
    <t>Cornered, Controlled Burst, Reservoir Burst</t>
  </si>
  <si>
    <t>Energy damage
Energy utility</t>
  </si>
  <si>
    <t>Loaded Question</t>
  </si>
  <si>
    <t>Auto-Loading Holster, Overflow, Envious Assassin</t>
  </si>
  <si>
    <t>Demolitionist</t>
  </si>
  <si>
    <t>Controlled Burst, Reservoir Burst, Frenzy</t>
  </si>
  <si>
    <t>Riptide</t>
  </si>
  <si>
    <t>Chill Clip, Demolitionist</t>
  </si>
  <si>
    <t>Frenzy, Vorpal Weapon, Cornered</t>
  </si>
  <si>
    <t>Kinetic damage
Kinetic utility</t>
  </si>
  <si>
    <t>Nox Perennial V</t>
  </si>
  <si>
    <t>Controlled Burst</t>
  </si>
  <si>
    <t>Kinetic damage</t>
  </si>
  <si>
    <t>Midha's Reckoning</t>
  </si>
  <si>
    <t>Runneth Over</t>
  </si>
  <si>
    <t>Cornered, Surrounded, Vorpal Weapon, Reservoir Burst</t>
  </si>
  <si>
    <t>Techeun Force</t>
  </si>
  <si>
    <t>Envious Assassin, Rewind Rounds, Slideways, Reconstruction</t>
  </si>
  <si>
    <t>High-Impact Reserves, Controlled Burst</t>
  </si>
  <si>
    <t>Energy damage</t>
  </si>
  <si>
    <t>Royal Executioner</t>
  </si>
  <si>
    <t>Reservoir Burst</t>
  </si>
  <si>
    <t>Cartesian Coordinate</t>
  </si>
  <si>
    <t>Slideways</t>
  </si>
  <si>
    <t>Vorpal Weapon, High-Impact Reserves</t>
  </si>
  <si>
    <t>Dream Breaker</t>
  </si>
  <si>
    <t>High-Impact Reserves, Frenzy, Surrounded, Cornered</t>
  </si>
  <si>
    <t>Glacioclasm</t>
  </si>
  <si>
    <t>Slideshot, Subsistence</t>
  </si>
  <si>
    <t>Reservoir Burst, High-Impact Reserves</t>
  </si>
  <si>
    <t>Null Composure</t>
  </si>
  <si>
    <t>Pressurized Precision</t>
  </si>
  <si>
    <t>Discord</t>
  </si>
  <si>
    <t>High-Impact Reserves, Vorpal Weapon, Cornered</t>
  </si>
  <si>
    <t>Deliverance</t>
  </si>
  <si>
    <t>Demolitionist, Chill Clip</t>
  </si>
  <si>
    <t>Cornered, Surrounded, Bait and Switch</t>
  </si>
  <si>
    <t>Kinetic utility
Kinetic damage</t>
  </si>
  <si>
    <t>Iota Draconis</t>
  </si>
  <si>
    <t>Cornered, Frenzy, High-Impact Reserves</t>
  </si>
  <si>
    <t>Iterative Loop</t>
  </si>
  <si>
    <t>Voltshot, Demolitionist</t>
  </si>
  <si>
    <t>Nanotech Tracer Missiles</t>
  </si>
  <si>
    <t>Aurvandil FR6</t>
  </si>
  <si>
    <t>Reconstruction, Slideways, Subsistence</t>
  </si>
  <si>
    <t>Zealot's Reward</t>
  </si>
  <si>
    <t>High-Impact Reserves</t>
  </si>
  <si>
    <t>Trinary System</t>
  </si>
  <si>
    <t>Auto-Loading Holster, Slideshot, Slideways</t>
  </si>
  <si>
    <t>Burden of Guilt</t>
  </si>
  <si>
    <t>Chill Clip</t>
  </si>
  <si>
    <t>Exile's Curse</t>
  </si>
  <si>
    <t>Slideshot</t>
  </si>
  <si>
    <t>Hollow Words</t>
  </si>
  <si>
    <t>Snorri FR5</t>
  </si>
  <si>
    <t>Frenzy, Reservoir Burst, High-Impact Reserves</t>
  </si>
  <si>
    <t>The Wizened Rebuke</t>
  </si>
  <si>
    <t>Voltshot</t>
  </si>
  <si>
    <t>Timelines' Vertex</t>
  </si>
  <si>
    <t>PLUG ONE.1</t>
  </si>
  <si>
    <t>Reservoir Burst, Cornered</t>
  </si>
  <si>
    <t>Main Ingredient</t>
  </si>
  <si>
    <t>Likely Suspect</t>
  </si>
  <si>
    <t>The Epicurean</t>
  </si>
  <si>
    <t>Cornered</t>
  </si>
  <si>
    <t>Coriolis Force</t>
  </si>
  <si>
    <t>Forbearance</t>
  </si>
  <si>
    <t>Ambitious Assassin</t>
  </si>
  <si>
    <t>Unrelenting, Wellspring, Chain Reaction, Souldrinker</t>
  </si>
  <si>
    <t>One For All, Rampage</t>
  </si>
  <si>
    <t>Energy splash</t>
  </si>
  <si>
    <t>Wilderflight</t>
  </si>
  <si>
    <t>Demolitionist, Repulsor Brace, Danger Zone</t>
  </si>
  <si>
    <t>Frenzy, Vorpal Weapon</t>
  </si>
  <si>
    <t>Energy utility
Energy damage</t>
  </si>
  <si>
    <t>Ignition Code</t>
  </si>
  <si>
    <t>Slideshot, Ambitious Assassin</t>
  </si>
  <si>
    <t>Demolitionist, Danger Zone</t>
  </si>
  <si>
    <t>Vorpal Weapon, Frenzy</t>
  </si>
  <si>
    <t>Deafening Whisper</t>
  </si>
  <si>
    <t>Auto-Loading Holster, Ambitious Assassin</t>
  </si>
  <si>
    <t>Wellspring, Unrelenting</t>
  </si>
  <si>
    <t>Rampage</t>
  </si>
  <si>
    <t>Explosive Personality</t>
  </si>
  <si>
    <t>Unrelenting</t>
  </si>
  <si>
    <t>Frenzy, One For All</t>
  </si>
  <si>
    <t>Harsh Language</t>
  </si>
  <si>
    <t>Wellspring, Destabilizing Rounds, Repulsor Brace, Unrelenting</t>
  </si>
  <si>
    <t>New Pacific Epitaph</t>
  </si>
  <si>
    <t>Demolitionist, Unrelenting</t>
  </si>
  <si>
    <t>Redirection, Kill Clip</t>
  </si>
  <si>
    <t>Kinetic splash</t>
  </si>
  <si>
    <t>Empty Vessel</t>
  </si>
  <si>
    <t>Lingering Dread</t>
  </si>
  <si>
    <t>Chill Clip, Demolitionist, Danger Zone</t>
  </si>
  <si>
    <t>Salvager's Salvo</t>
  </si>
  <si>
    <t>Demolitionist, Chain Reaction</t>
  </si>
  <si>
    <t>Energy splash
Energy damage</t>
  </si>
  <si>
    <t>The Militia's Birthright</t>
  </si>
  <si>
    <t>Slideways, Ambitious Assassin, Auto-Loading Holster</t>
  </si>
  <si>
    <t>Danger Zone</t>
  </si>
  <si>
    <t>Pardon Our Dust</t>
  </si>
  <si>
    <t>Orewing's Maul</t>
  </si>
  <si>
    <t>Truthteller</t>
  </si>
  <si>
    <t>Prodigal Return</t>
  </si>
  <si>
    <t>Danger Zone, Demoltionist, Voltshot</t>
  </si>
  <si>
    <t>TAB</t>
  </si>
  <si>
    <t>UPDATED</t>
  </si>
  <si>
    <t>STATUS</t>
  </si>
  <si>
    <t>Shopping List</t>
  </si>
  <si>
    <t>in progress</t>
  </si>
  <si>
    <t>Archetypes</t>
  </si>
  <si>
    <t>Experimental</t>
  </si>
  <si>
    <t>future</t>
  </si>
  <si>
    <t>Autos</t>
  </si>
  <si>
    <t>Bows</t>
  </si>
  <si>
    <t>HCs</t>
  </si>
  <si>
    <t>Pulses</t>
  </si>
  <si>
    <t>Scouts</t>
  </si>
  <si>
    <t>Sidearms</t>
  </si>
  <si>
    <t>SMGs</t>
  </si>
  <si>
    <t>BGLs</t>
  </si>
  <si>
    <t>Fusions</t>
  </si>
  <si>
    <t>Glaives</t>
  </si>
  <si>
    <t>Shotguns</t>
  </si>
  <si>
    <t>Snipers</t>
  </si>
  <si>
    <t>Rocket Sidearms</t>
  </si>
  <si>
    <t>Traces</t>
  </si>
  <si>
    <t>HGLs</t>
  </si>
  <si>
    <t>LFRs</t>
  </si>
  <si>
    <t>LMGs</t>
  </si>
  <si>
    <t>Rockets</t>
  </si>
  <si>
    <t>Swords</t>
  </si>
  <si>
    <t>Other</t>
  </si>
  <si>
    <t>Exotic Weapons</t>
  </si>
  <si>
    <t>Exotic Armor</t>
  </si>
  <si>
    <t>pre-TFS</t>
  </si>
  <si>
    <t>Builds</t>
  </si>
  <si>
    <t>Perks</t>
  </si>
  <si>
    <t>Origin Traits</t>
  </si>
  <si>
    <t>Set Bonuses</t>
  </si>
  <si>
    <t>Fragments</t>
  </si>
  <si>
    <t>updated</t>
  </si>
  <si>
    <t>Aspects</t>
  </si>
  <si>
    <t>Subclasses</t>
  </si>
  <si>
    <t>Encounters</t>
  </si>
  <si>
    <t>Transitions</t>
  </si>
  <si>
    <t>TBA</t>
  </si>
  <si>
    <t>Raid Mods</t>
  </si>
  <si>
    <t>Note: perks are ordered from top to bottom in order of endgame applicability and aren't necessarily directly associated with their corresponding perk in the other column (i.e. top+top perk). Also, S tier is individual to each tier list (S tier glaive =/= S tier sniper in overall viability).</t>
  </si>
  <si>
    <r>
      <rPr>
        <i/>
        <color rgb="FF000000"/>
      </rPr>
      <t>Detailed info from the</t>
    </r>
    <r>
      <rPr>
        <i/>
        <color rgb="FF56A3F1"/>
        <u/>
      </rPr>
      <t xml:space="preserve">
</t>
    </r>
    <r>
      <rPr>
        <b/>
        <i/>
        <color rgb="FF0000FF"/>
        <u/>
      </rPr>
      <t>Destiny Data Compendium</t>
    </r>
  </si>
  <si>
    <r>
      <rPr>
        <i/>
        <color rgb="FF000000"/>
      </rPr>
      <t>Reserve info from the</t>
    </r>
    <r>
      <rPr>
        <i/>
        <color rgb="FF5AADF1"/>
      </rPr>
      <t xml:space="preserve">
</t>
    </r>
    <r>
      <rPr>
        <b/>
        <i/>
        <color rgb="FF0000FF"/>
        <u/>
      </rPr>
      <t>Reserve and Mag Database</t>
    </r>
  </si>
  <si>
    <t>Message @theaegisrelic on Discord if you have any corrections/questions! This is meant to be an evolving community resource :)</t>
  </si>
  <si>
    <t>Pantheon 2.0</t>
  </si>
  <si>
    <t>Ren</t>
  </si>
  <si>
    <t>P2</t>
  </si>
  <si>
    <t>Notes</t>
  </si>
  <si>
    <t>Advanced Reflexes</t>
  </si>
  <si>
    <t>E</t>
  </si>
  <si>
    <t>basically free 5% damage with potentially annoying refresh</t>
  </si>
  <si>
    <t>Gun and Run</t>
  </si>
  <si>
    <t>decent QoL refill perk on low mag weapons</t>
  </si>
  <si>
    <t>Superluminal Motion</t>
  </si>
  <si>
    <t>still worse than Restoration x1, niche to reproc outside of Well</t>
  </si>
  <si>
    <t>Renegades</t>
  </si>
  <si>
    <t>A&amp;I</t>
  </si>
  <si>
    <t>The Martlet</t>
  </si>
  <si>
    <t>solid add clear pulse with double splash + utility, good frame</t>
  </si>
  <si>
    <t>Corundum Hammer</t>
  </si>
  <si>
    <t>StL + EP kinetic replacement, solid perks for Strand too</t>
  </si>
  <si>
    <t>The Immortal</t>
  </si>
  <si>
    <t>no good splash perk, has Attrition access</t>
  </si>
  <si>
    <t>Cataphract GL3</t>
  </si>
  <si>
    <t>bland expected Envious + BnS HGL</t>
  </si>
  <si>
    <t>still extremely outdated PvE perks</t>
  </si>
  <si>
    <t>Refurbished A499</t>
  </si>
  <si>
    <t>not enough comparison points, added to Other tab</t>
  </si>
  <si>
    <t>Something Something</t>
  </si>
  <si>
    <t>perks aren't amazing but Accelerated Assault bypasses agg mag</t>
  </si>
  <si>
    <t>Peculiar Charm</t>
  </si>
  <si>
    <t>Multimach alternative with better damage and worse utility</t>
  </si>
  <si>
    <t>Horror's Least</t>
  </si>
  <si>
    <t>F</t>
  </si>
  <si>
    <t>likely best Jolting pulse in the game, reload perks still untested</t>
  </si>
  <si>
    <t>Motif-41</t>
  </si>
  <si>
    <t>pretty solid all around but not a very strong specialist</t>
  </si>
  <si>
    <t>Evening SI4</t>
  </si>
  <si>
    <t>almost identical to Drang, just different frame</t>
  </si>
  <si>
    <t>Psi Aeterna IV</t>
  </si>
  <si>
    <t>Qua Vinctus IV</t>
  </si>
  <si>
    <t>solid overall package with new Meganeura</t>
  </si>
  <si>
    <t>A Good Shout</t>
  </si>
  <si>
    <t>Sarpedon-D</t>
  </si>
  <si>
    <t>decent perks but lacks universal reload options</t>
  </si>
  <si>
    <t>Phoneutria Fera</t>
  </si>
  <si>
    <t>underrated spread shot usefulness even with suboptimal perks</t>
  </si>
  <si>
    <t>Hawthorne's Field-Forged Shotgun</t>
  </si>
  <si>
    <t>only really has Chill Clip for PvE</t>
  </si>
  <si>
    <t>Nox Sidereal IV</t>
  </si>
  <si>
    <t>mediocre damage setup and okay roam combos</t>
  </si>
  <si>
    <t>Mos Athanor IV</t>
  </si>
  <si>
    <t>alright double splash but worst frame and no diversity</t>
  </si>
  <si>
    <t>Compact Defender</t>
  </si>
  <si>
    <t>best frame with best Void combo</t>
  </si>
  <si>
    <t>Uncivil Discourse</t>
  </si>
  <si>
    <t>M-17 "Fast Talker"</t>
  </si>
  <si>
    <t>BiS kinetic slot PK SMG, otherwise decent</t>
  </si>
  <si>
    <t>Modified B-7 Pistol</t>
  </si>
  <si>
    <t>basically just better than Solemn Remembrance</t>
  </si>
  <si>
    <t>All or Nothing</t>
  </si>
  <si>
    <t>Strand pulse but dynamic frame and double splash</t>
  </si>
  <si>
    <t>Zealous Ideal</t>
  </si>
  <si>
    <t>better version of Ahab Char with improved overall package</t>
  </si>
  <si>
    <t>Bitter End</t>
  </si>
  <si>
    <t>awful reserves, perks limited by arc affinity</t>
  </si>
  <si>
    <t>High Tyrant</t>
  </si>
  <si>
    <t>no consistent Repulsor option but lethality seems good</t>
  </si>
  <si>
    <t>Voltaic Shade</t>
  </si>
  <si>
    <t>Jolting double splash option, interesting but untested</t>
  </si>
  <si>
    <t>Conspiracy Honed</t>
  </si>
  <si>
    <t>double damage perks + 30%? frame boost</t>
  </si>
  <si>
    <t>Sullen Claw</t>
  </si>
  <si>
    <t>best light attack neutral Eager sword</t>
  </si>
  <si>
    <t>Eighty-Six</t>
  </si>
  <si>
    <t>middling perks and worst frame</t>
  </si>
  <si>
    <t>Monody-44</t>
  </si>
  <si>
    <t>best Discord fusion, has Withering frame too</t>
  </si>
  <si>
    <t>basically Lionfish at home</t>
  </si>
  <si>
    <t>Oxygen SR3</t>
  </si>
  <si>
    <t>mediocre archetype and okay perks</t>
  </si>
  <si>
    <t>Duty Bound</t>
  </si>
  <si>
    <t>buffed Rampage and Bewildering per-kill blind</t>
  </si>
  <si>
    <t>Gizmo Weft</t>
  </si>
  <si>
    <t>Mountaintop replacement that is also great for damage</t>
  </si>
  <si>
    <t>Permafrost</t>
  </si>
  <si>
    <t>decent add clear perks but no strong arguments for S</t>
  </si>
  <si>
    <t>Action Item</t>
  </si>
  <si>
    <t>best Stasis synergy trace, not much else</t>
  </si>
  <si>
    <t>Reghusk's Pledge</t>
  </si>
  <si>
    <t>basically Reckless but a little different</t>
  </si>
  <si>
    <t>King Orfeo</t>
  </si>
  <si>
    <t>just worse than Non-Denouement</t>
  </si>
  <si>
    <t>The Heron</t>
  </si>
  <si>
    <t>BiS Void neutral + Techsec pairing glaive</t>
  </si>
  <si>
    <t>Fimbulwinter Stitch</t>
  </si>
  <si>
    <t>similar to many other Arc sidearms in A tier</t>
  </si>
  <si>
    <t>Mistral Lift</t>
  </si>
  <si>
    <t>not many perk changes</t>
  </si>
  <si>
    <t>Micromort</t>
  </si>
  <si>
    <t>decent perks but held back by archetype</t>
  </si>
  <si>
    <t>Cusp Sempiternal</t>
  </si>
  <si>
    <t>simply not as potent as Physic</t>
  </si>
  <si>
    <t>Haliaetus</t>
  </si>
  <si>
    <t>Bray Legacy interaction nerfed</t>
  </si>
  <si>
    <t>Ash &amp; Iron</t>
  </si>
  <si>
    <t>EoF</t>
  </si>
  <si>
    <t>Arcane Embrace</t>
  </si>
  <si>
    <t>Aggregate Charge is more consistent, still pretty similar though</t>
  </si>
  <si>
    <t>Envious upgrade from old 1st column, better 2nd column too</t>
  </si>
  <si>
    <t>Void Overshield to allies, excellent perks all around</t>
  </si>
  <si>
    <t>Drang</t>
  </si>
  <si>
    <t>great perk pool, solid archetype, upgrade over Heliocentric</t>
  </si>
  <si>
    <t>Everburning Glitz</t>
  </si>
  <si>
    <t>definitely BiS kinetic auto</t>
  </si>
  <si>
    <t>Finite Impactor</t>
  </si>
  <si>
    <t>Heal Clip bad on HCs, no good splash in 2nd</t>
  </si>
  <si>
    <t>Folded Root</t>
  </si>
  <si>
    <t>missed opportunity to showcase Cluster buff, awful 2nd column</t>
  </si>
  <si>
    <t>Forced Memorializer</t>
  </si>
  <si>
    <t>new perk combo, unfortunate frame</t>
  </si>
  <si>
    <t>Gunburn</t>
  </si>
  <si>
    <t>no AO + KT, solid otherwise, new kinetic perk combo</t>
  </si>
  <si>
    <t>okay origin trait, decent perks (no Envious), sadly not right frame</t>
  </si>
  <si>
    <t>Hushed Whisper</t>
  </si>
  <si>
    <t>has Tear access, good frame, held back by Strand limitations</t>
  </si>
  <si>
    <t>MIDA Macro-Tool</t>
  </si>
  <si>
    <t>Grave + 12P on bad frame, no other relevant combos</t>
  </si>
  <si>
    <t>MIDA Mini-Tool</t>
  </si>
  <si>
    <t>basically Yeartide but slightly worse</t>
  </si>
  <si>
    <t>Romantic Death</t>
  </si>
  <si>
    <t>solid perks but unfortunately wave frame</t>
  </si>
  <si>
    <t>Seraphine Haze</t>
  </si>
  <si>
    <t>kill-hungry perks that have middling payoff</t>
  </si>
  <si>
    <t>Starscape Null</t>
  </si>
  <si>
    <t>very odd perk pool for a lightweight</t>
  </si>
  <si>
    <t>Submersion</t>
  </si>
  <si>
    <t>no tiering yet, interesting add clear option</t>
  </si>
  <si>
    <t>The Ever-Present</t>
  </si>
  <si>
    <t>great perk pool and archetype, just no Cascade + damage pairing</t>
  </si>
  <si>
    <t>Unfall</t>
  </si>
  <si>
    <t>worse than Indebted besides enhanceable Lead from Gold</t>
  </si>
  <si>
    <t>Outbreak Perfected</t>
  </si>
  <si>
    <t>super generation nuked</t>
  </si>
  <si>
    <t>New Malpais</t>
  </si>
  <si>
    <t>solid total damage and dump potential, good for roam too</t>
  </si>
  <si>
    <t>Aggregate Charge</t>
  </si>
  <si>
    <t>new potentially BiS sustained damage perk</t>
  </si>
  <si>
    <t>Crystalline Corpsebloom</t>
  </si>
  <si>
    <t>surprisingly decent, like Headstone but no crit requirement</t>
  </si>
  <si>
    <t>Ancillary Ordinance</t>
  </si>
  <si>
    <t>missile does pretty decent damage, very easy to stack</t>
  </si>
  <si>
    <t>Bewildering Burst</t>
  </si>
  <si>
    <t>blinding GL capability on add clear weapon, low radius</t>
  </si>
  <si>
    <t>Lead From Light</t>
  </si>
  <si>
    <t>decent but special ammo progress isn't that valuable</t>
  </si>
  <si>
    <t>Collective Pugilism</t>
  </si>
  <si>
    <t>decent melee on-hit but restrictive proc requirement</t>
  </si>
  <si>
    <t>Contending Cascade</t>
  </si>
  <si>
    <t>unrealistic killstreak requirement, stats are okay</t>
  </si>
  <si>
    <t>The Edge of Fate</t>
  </si>
  <si>
    <t>RotN</t>
  </si>
  <si>
    <t>Giver's Blessing</t>
  </si>
  <si>
    <t>best KT auto, but lacks utility in first column and decent origin</t>
  </si>
  <si>
    <t>Intercalary</t>
  </si>
  <si>
    <t>solid Headstone auto, just not best frame, origin, or 2nd column</t>
  </si>
  <si>
    <t>Auric Disabler</t>
  </si>
  <si>
    <t>BiS splash strand auto, mediocre frame and origin trait</t>
  </si>
  <si>
    <t>Ahab Char</t>
  </si>
  <si>
    <t>good archetype and origin, very mediocre perks</t>
  </si>
  <si>
    <t>Pre Astyanax IV</t>
  </si>
  <si>
    <t>Incandescent + Burning Ambition great combo</t>
  </si>
  <si>
    <t>Fortunate Star</t>
  </si>
  <si>
    <t>BiS void bow, great splash perks, decent utility</t>
  </si>
  <si>
    <t>Mercury-A</t>
  </si>
  <si>
    <t>unique Attrition + KT combo, not great otherwise</t>
  </si>
  <si>
    <t>Aureus Neutralizer</t>
  </si>
  <si>
    <t>BiS legendary LP hand cannon, potentially decent neutral</t>
  </si>
  <si>
    <t>Agape</t>
  </si>
  <si>
    <t>good mix of LP damage and Incandescent</t>
  </si>
  <si>
    <t>Solemn Remembrance</t>
  </si>
  <si>
    <t>easily best Headstone HC thanks to Firefly interaction</t>
  </si>
  <si>
    <t>mediocre first column, but frame is hard-hitting with Incandescent</t>
  </si>
  <si>
    <t>Stars in Shadow</t>
  </si>
  <si>
    <t>solid overall package, unfortunately high-impact frame</t>
  </si>
  <si>
    <t>Last Thursday</t>
  </si>
  <si>
    <t>very mediocre and dated perk pool, okay archetype</t>
  </si>
  <si>
    <t>Aisha's Embrace</t>
  </si>
  <si>
    <t>easily best void scout, interesting mixes of new void 3.0 perks</t>
  </si>
  <si>
    <t>Jurisprudent</t>
  </si>
  <si>
    <t>okay Headstone package, bad frame</t>
  </si>
  <si>
    <t>Sublimation</t>
  </si>
  <si>
    <t>bad frame, okay non-synergistic perks</t>
  </si>
  <si>
    <t>Forgiveness</t>
  </si>
  <si>
    <t>probably best Voltshot sidearm, good frame, double damage</t>
  </si>
  <si>
    <t>Faustus Decline</t>
  </si>
  <si>
    <t>decent frame, classic Headstone-paired perks</t>
  </si>
  <si>
    <t>Yeartide Apex</t>
  </si>
  <si>
    <t>BiS solar SMG, great frame, okay origin, diverse perks</t>
  </si>
  <si>
    <t>Antedate</t>
  </si>
  <si>
    <t>best Jolting Feedback SMG + best PK DPS SMG</t>
  </si>
  <si>
    <t>Qua Nilus II</t>
  </si>
  <si>
    <t>Slice + classic strand-paired perks, decent frame</t>
  </si>
  <si>
    <t>Theodolite</t>
  </si>
  <si>
    <t>Reconstruction and relevant damage perks and unique in slot</t>
  </si>
  <si>
    <t>Festival Flight</t>
  </si>
  <si>
    <t>fast Blast Distributor procs + better DPS than Lost Signal</t>
  </si>
  <si>
    <t>Finite Maybe</t>
  </si>
  <si>
    <t>solid perk pool, Discord+splash option, acquired taste frame</t>
  </si>
  <si>
    <t>Lionfish-4fr</t>
  </si>
  <si>
    <t>excellent for damage and utility, best all-around pick</t>
  </si>
  <si>
    <t>Pure Recollection</t>
  </si>
  <si>
    <t>more relevant damage perks for heavy burst, still not great frame</t>
  </si>
  <si>
    <t>Precipial</t>
  </si>
  <si>
    <t>no reload perk 12P, bad frame, double damage perk though</t>
  </si>
  <si>
    <t>Trachinus</t>
  </si>
  <si>
    <t>interesting Chill Clip utility roll, frame is likely questionable</t>
  </si>
  <si>
    <t>Lance Ephemeral</t>
  </si>
  <si>
    <t>similar perk pool to Praedyth's, arguably worse origin</t>
  </si>
  <si>
    <t>Shoreline Dissident</t>
  </si>
  <si>
    <t>best void DPS sniper but extremely dated perk pool</t>
  </si>
  <si>
    <t>Returned Memory</t>
  </si>
  <si>
    <t>much more diverse perks vs. Aberrant, solid origin trait</t>
  </si>
  <si>
    <t>Ribbontail</t>
  </si>
  <si>
    <t>no good utility perks, strange options</t>
  </si>
  <si>
    <t>Outrageous Fortune</t>
  </si>
  <si>
    <t>almost identical to VS Chill Inhibitor minus Cascade</t>
  </si>
  <si>
    <t>Boomslang-4fr</t>
  </si>
  <si>
    <t>more updated / higher QoL Doomed Petitioner</t>
  </si>
  <si>
    <t>Ulterior Observation</t>
  </si>
  <si>
    <t>solid frame mixed with great neutral perks</t>
  </si>
  <si>
    <t>Unwavering Duty</t>
  </si>
  <si>
    <t>perk upgrades all around, some unique combos</t>
  </si>
  <si>
    <t>The When and Where</t>
  </si>
  <si>
    <t>BiS burst rocket, but worse origin generally vs. Hezen</t>
  </si>
  <si>
    <t>Synanceia</t>
  </si>
  <si>
    <t>most versatile high tier sword: Sharp/Eager/damage</t>
  </si>
  <si>
    <t>Aurora Dawn</t>
  </si>
  <si>
    <t>decent second column, Sharp Harvest interesting, no Relentless</t>
  </si>
  <si>
    <t>A LOT OF STUFF</t>
  </si>
  <si>
    <t>restructured tiers and shifted weapons a lot</t>
  </si>
  <si>
    <t>Rite of the Nine</t>
  </si>
  <si>
    <t>SD</t>
  </si>
  <si>
    <t>NEW ADDITIONS / REPRISES</t>
  </si>
  <si>
    <t>Terminus Horizon</t>
  </si>
  <si>
    <t>now has Jolting Feedback and Rolling Storm, not perfect archetype</t>
  </si>
  <si>
    <t>Cold Comfort</t>
  </si>
  <si>
    <t>basically a no Timelost Magazine stasis Hezen</t>
  </si>
  <si>
    <t>upgraded with Chain Reaction and Gravity Well option</t>
  </si>
  <si>
    <t>Greasy Luck</t>
  </si>
  <si>
    <t>enhanceable, upgraded perks in both columns</t>
  </si>
  <si>
    <t>No Survivors</t>
  </si>
  <si>
    <t>Attrition + Heal Clip access in first column, Gravity Well decent too</t>
  </si>
  <si>
    <t>Long Arm</t>
  </si>
  <si>
    <t>barely any perk changes</t>
  </si>
  <si>
    <t>BiS double fire swap DPS and blinding BGL</t>
  </si>
  <si>
    <t>Liminal Vigil</t>
  </si>
  <si>
    <t>not significantly different from original</t>
  </si>
  <si>
    <t>Judgment</t>
  </si>
  <si>
    <t>Relentless</t>
  </si>
  <si>
    <t>double splash perks thanks to Firefly in first column</t>
  </si>
  <si>
    <t>Prosecutor</t>
  </si>
  <si>
    <t>now has Dragonfly/Voltshot combo, but not enough to break A</t>
  </si>
  <si>
    <t>Cruel Mercy</t>
  </si>
  <si>
    <t>no Jolting Feedback; Dragonfly/Rolling is fine</t>
  </si>
  <si>
    <t>Nature Reclaimed</t>
  </si>
  <si>
    <t>Heal Clip/Incandescent lightweight, has StL/EP too</t>
  </si>
  <si>
    <t>double damage perks + Discord w/ high single target special</t>
  </si>
  <si>
    <t>underrated last patch</t>
  </si>
  <si>
    <t>Gravity Well</t>
  </si>
  <si>
    <t>too niche to be high tier, range is a little underwhelming</t>
  </si>
  <si>
    <t>New Land Beyond</t>
  </si>
  <si>
    <t>good for solo/ammo-restricted contexts against precision targets</t>
  </si>
  <si>
    <t>Lord of Wolves</t>
  </si>
  <si>
    <t>added to list post-nerf, very strong in most content</t>
  </si>
  <si>
    <t>ADJUSTMENTS</t>
  </si>
  <si>
    <t>Multimach CCX</t>
  </si>
  <si>
    <t>Embraced Identity</t>
  </si>
  <si>
    <t>passed over Redirection potential</t>
  </si>
  <si>
    <t>Relentless Strikes</t>
  </si>
  <si>
    <t>patched interaction with Wolfpack Rounds</t>
  </si>
  <si>
    <t>Sundered Doctrine</t>
  </si>
  <si>
    <t>S26</t>
  </si>
  <si>
    <t>Unvoiced</t>
  </si>
  <si>
    <t>they put Redirection and BnS on a slug</t>
  </si>
  <si>
    <t>Unworthy</t>
  </si>
  <si>
    <t>Firefly + Voltshot + rapid + best primary origin trait ever</t>
  </si>
  <si>
    <t>Unsworn</t>
  </si>
  <si>
    <t>first StL kinetic slot trace, great origin trait, Detonator Beam</t>
  </si>
  <si>
    <t>Unloved</t>
  </si>
  <si>
    <t>Warden's Law except OP origin trait and 40% buff</t>
  </si>
  <si>
    <t>Keraunios</t>
  </si>
  <si>
    <t>basically Warlord's Spear with Rolling Storm</t>
  </si>
  <si>
    <t>Finality's Auger</t>
  </si>
  <si>
    <t>G</t>
  </si>
  <si>
    <t>gimmicky mechanic that does poor damage and mediocre splash</t>
  </si>
  <si>
    <t>Lodestar</t>
  </si>
  <si>
    <t>only truly effective on a weak subclass, not very potent splash</t>
  </si>
  <si>
    <t>Barrow-Dyad</t>
  </si>
  <si>
    <t>decently strong on-hit seekers, will need more info on traits</t>
  </si>
  <si>
    <t>Subjugation</t>
  </si>
  <si>
    <t>free Explosive Payload, applies exhaustion with no requirement</t>
  </si>
  <si>
    <t>Willing Vessel</t>
  </si>
  <si>
    <t>damage dealt/kill Bitterspite replacement</t>
  </si>
  <si>
    <t>Timelost Magazine</t>
  </si>
  <si>
    <t>easily best overflow/refill origin trait by far</t>
  </si>
  <si>
    <t>Paracausal Fluid</t>
  </si>
  <si>
    <t>like Hot Swap but for dealing damage</t>
  </si>
  <si>
    <t>Elemental Honing</t>
  </si>
  <si>
    <t>best setup sustained DPS perk in the game</t>
  </si>
  <si>
    <t>Reciprocity</t>
  </si>
  <si>
    <t>worse version of Physic for non-solar support frames</t>
  </si>
  <si>
    <t>Detonator Beam</t>
  </si>
  <si>
    <t>solid 2nd perk for Cenotaph users looking to chip at majors</t>
  </si>
  <si>
    <t>Rolling Storm</t>
  </si>
  <si>
    <t>only weapon-based Bolt Charge kickstarter, just okay for neutral</t>
  </si>
  <si>
    <t>Demoralize</t>
  </si>
  <si>
    <t>splash debuff not very useful in most scenarios</t>
  </si>
  <si>
    <t>Tear</t>
  </si>
  <si>
    <t>Recycled Energy</t>
  </si>
  <si>
    <t>worse than mainstream ability regen perks and requires reload</t>
  </si>
  <si>
    <t>Melee Momentum</t>
  </si>
  <si>
    <t>niche Immovable Object alternative for melee-centric builds</t>
  </si>
  <si>
    <t>Redirection</t>
  </si>
  <si>
    <t>insane buff, has crazy potential for 2x damage on DPS weapons</t>
  </si>
  <si>
    <t>Repulsor Brace</t>
  </si>
  <si>
    <t>didn't update properly after Void Overshield DR buff</t>
  </si>
  <si>
    <t>The Title</t>
  </si>
  <si>
    <t>similar perk pool, just removed Attrition Orbs</t>
  </si>
  <si>
    <t>Taraxippos</t>
  </si>
  <si>
    <t>similar perk pool, just removed Gutshot Straight</t>
  </si>
  <si>
    <t>Hullabaloo</t>
  </si>
  <si>
    <t>Envious Arsenal now in pool, plus OFA relevant on Raneiks</t>
  </si>
  <si>
    <t>Dimensional Hypotrochoid</t>
  </si>
  <si>
    <t>OFA relevant on Raneiks</t>
  </si>
  <si>
    <t>Redirection buff</t>
  </si>
  <si>
    <t>No Hesitation</t>
  </si>
  <si>
    <t>med</t>
  </si>
  <si>
    <t>high</t>
  </si>
  <si>
    <t>underrated utility in low power content</t>
  </si>
  <si>
    <t>Sunshot</t>
  </si>
  <si>
    <t>exotic heavies much more common for contest-type content</t>
  </si>
  <si>
    <t>Leviathan's Breath</t>
  </si>
  <si>
    <t>consistent heavies in this category are overshadowed by others</t>
  </si>
  <si>
    <t>The Queenbreaker</t>
  </si>
  <si>
    <t>better consistent heavy than Whisper</t>
  </si>
  <si>
    <t>low</t>
  </si>
  <si>
    <t>replaced Warden's Law as BiS kinetic LP HC</t>
  </si>
  <si>
    <t>replaced The Supremacy as BiS kinetic damage sniper</t>
  </si>
  <si>
    <t>Hezen Vengeance</t>
  </si>
  <si>
    <t>rockets &gt; HGLs for burst</t>
  </si>
  <si>
    <t>VS Chill Inhibitor</t>
  </si>
  <si>
    <t>HGL nerf</t>
  </si>
  <si>
    <t>Tinasha's Mastery</t>
  </si>
  <si>
    <t>not absolutely essential compared to other high-tier legendaries</t>
  </si>
  <si>
    <t>Word of Crota</t>
  </si>
  <si>
    <t>replaced Heliocentric post-Destabilizing buffs</t>
  </si>
  <si>
    <t>Storm's Keep</t>
  </si>
  <si>
    <t>significantly better than expected pre-release</t>
  </si>
  <si>
    <t>Episode: Heresy</t>
  </si>
  <si>
    <t>S25</t>
  </si>
  <si>
    <t>Keen Thistle</t>
  </si>
  <si>
    <t>low utility but decent perks and best Envious sniper</t>
  </si>
  <si>
    <t>great damage perks in 2nd column, nerfed 1st column</t>
  </si>
  <si>
    <t>Warlord's Spear</t>
  </si>
  <si>
    <t>good splash potential in 2nd column, okay 1st column</t>
  </si>
  <si>
    <t>Lotus-Eater</t>
  </si>
  <si>
    <t>similar perk combo to Aberrant, worse origin trait</t>
  </si>
  <si>
    <t>Cynosure</t>
  </si>
  <si>
    <t>good archetype + Envious Arsenal + Elemental Honing</t>
  </si>
  <si>
    <t>Backfang</t>
  </si>
  <si>
    <t>decent mix of perks and decent archetype</t>
  </si>
  <si>
    <t>Boondoggle Mk. 55</t>
  </si>
  <si>
    <t>clearly meant for PvE, best PvE perks are extremely dated</t>
  </si>
  <si>
    <t>Joxer's Longsword</t>
  </si>
  <si>
    <t>Gridskipper but heavy burst frame and worse origin trait</t>
  </si>
  <si>
    <t>awful perks overall, mediocre frame</t>
  </si>
  <si>
    <t>Abyssal Edge</t>
  </si>
  <si>
    <t>generally worse than Summum Bonum</t>
  </si>
  <si>
    <t>Cold Denial</t>
  </si>
  <si>
    <t>high-impact with awful and outdated PvE perks</t>
  </si>
  <si>
    <t>Eyes Unveiled</t>
  </si>
  <si>
    <t>generally unremarkable besides being first Discord heavy</t>
  </si>
  <si>
    <t>Whispering Slab</t>
  </si>
  <si>
    <t>no modern 2nd column perks</t>
  </si>
  <si>
    <t>Trench Barrel + Discord + new origin trait</t>
  </si>
  <si>
    <t>Qua Furor V</t>
  </si>
  <si>
    <t>solid archetype and origin trait ruined by mediocre perks</t>
  </si>
  <si>
    <t>Watchful Eye</t>
  </si>
  <si>
    <t>good archetype + decent origin trait + first Jolting Feedback LMG</t>
  </si>
  <si>
    <t>Cruoris FR4</t>
  </si>
  <si>
    <t>has some usable damage options, but perk combos aren't great</t>
  </si>
  <si>
    <t>False Promises</t>
  </si>
  <si>
    <t>basically Herod-C v2 with enhanceable perks but no Häkke</t>
  </si>
  <si>
    <t>Temptation's Hook</t>
  </si>
  <si>
    <t>didn't fix low impact</t>
  </si>
  <si>
    <t>Resounding</t>
  </si>
  <si>
    <t>only add clear perks on a mediocre archetype</t>
  </si>
  <si>
    <t>Afterlight</t>
  </si>
  <si>
    <t>first adequately-equipped Discord fusion</t>
  </si>
  <si>
    <t>best DPS rocket in the game</t>
  </si>
  <si>
    <t>Refusal of the Call</t>
  </si>
  <si>
    <t>first Discord glaive, passable otherwise</t>
  </si>
  <si>
    <t>The Palindrome</t>
  </si>
  <si>
    <t>underwhelming perks given current HC competition</t>
  </si>
  <si>
    <t>Adamantite</t>
  </si>
  <si>
    <t>lack of Restoration, interesting combatant damage reduction</t>
  </si>
  <si>
    <t>Division</t>
  </si>
  <si>
    <t>basically Anonymous Autumn v2 but better archetype, worse origin</t>
  </si>
  <si>
    <t>Redrix's Estoc</t>
  </si>
  <si>
    <t>almost identical to most recent Stay Frosty version</t>
  </si>
  <si>
    <t>Anamnesis</t>
  </si>
  <si>
    <t>BiS Void bow, options for splash and utility</t>
  </si>
  <si>
    <t>Exalted Truth</t>
  </si>
  <si>
    <t>classic Void 3.0 combo + bad origin + decent archetype</t>
  </si>
  <si>
    <t>Peacebond</t>
  </si>
  <si>
    <t>similar viability to nearby Kinetic Tremors/Hatchling options</t>
  </si>
  <si>
    <t>Vision of Confluence</t>
  </si>
  <si>
    <t>lower utility but higher lethality than neighboring Hung Jury</t>
  </si>
  <si>
    <t>Corrective Measure</t>
  </si>
  <si>
    <t>still top-tier, but more unique perk combinations</t>
  </si>
  <si>
    <t>Admetus-D</t>
  </si>
  <si>
    <t>no splash perk even if utility is alright</t>
  </si>
  <si>
    <t>Psychopomp</t>
  </si>
  <si>
    <t>first area denial with overflow potential, Envious for damage as well</t>
  </si>
  <si>
    <t>Fatebringer</t>
  </si>
  <si>
    <t>almost identical to Midnight Coup now</t>
  </si>
  <si>
    <t>FTTC + BnS not much more to say really</t>
  </si>
  <si>
    <t>Mirror Imago</t>
  </si>
  <si>
    <t>Hatchling SMG without anything else particularly noteworthy</t>
  </si>
  <si>
    <t>On the Prowl</t>
  </si>
  <si>
    <t>lack of invisibility control is not ideal, but good crowd control</t>
  </si>
  <si>
    <t>potentially very nice addition to fireteam damage scenarios</t>
  </si>
  <si>
    <t>Ionic Sentry</t>
  </si>
  <si>
    <t>more refreshable and better CC version of Hellion/Bleak Watcher</t>
  </si>
  <si>
    <t>Choir of One</t>
  </si>
  <si>
    <t>Destabilizing Rounds buff + extremely versatile</t>
  </si>
  <si>
    <t>Aberrant Action</t>
  </si>
  <si>
    <t>energy rocket sidearm not as needed in endgame content</t>
  </si>
  <si>
    <t>Veleda-F</t>
  </si>
  <si>
    <t>perk-based weaken not that important</t>
  </si>
  <si>
    <t>Critical Anomaly</t>
  </si>
  <si>
    <t>hitscan Overload stun not relevant in most content</t>
  </si>
  <si>
    <t>Lost Signal</t>
  </si>
  <si>
    <t>underrated universal presence of darkness build in sandbox</t>
  </si>
  <si>
    <t>Buried Bloodline</t>
  </si>
  <si>
    <t>underrated subclass-agnostic Devour access</t>
  </si>
  <si>
    <t>Cloudstrike</t>
  </si>
  <si>
    <t>underrated total damage exotic specials (especially post-buff)</t>
  </si>
  <si>
    <t>The Mountaintop</t>
  </si>
  <si>
    <t>more versatile role than just movement, deserves Eager tier</t>
  </si>
  <si>
    <t>overrated Withering Gaze utility potential</t>
  </si>
  <si>
    <t>Sovereignty</t>
  </si>
  <si>
    <t>overrated heavy burst frame potential</t>
  </si>
  <si>
    <t>Someday</t>
  </si>
  <si>
    <t>precision frame holds it back too much</t>
  </si>
  <si>
    <t>rocket sidearm role shift toward utility over raw splash</t>
  </si>
  <si>
    <t>Qua Xaphan V</t>
  </si>
  <si>
    <t>Destabilizing Rounds buff</t>
  </si>
  <si>
    <t>Hammerhead</t>
  </si>
  <si>
    <t>Planck's Stride</t>
  </si>
  <si>
    <t>better overall perk combo + archetype than other D options</t>
  </si>
  <si>
    <t>Crux Termination IV</t>
  </si>
  <si>
    <t>replaced by Cynosure in every role</t>
  </si>
  <si>
    <t>Retraced Path</t>
  </si>
  <si>
    <t>not as versatile as buffed Destabilizing Chronophage</t>
  </si>
  <si>
    <t>Apex Predator</t>
  </si>
  <si>
    <t>no Envious Arsenal, S tier is a firm grouping at this point</t>
  </si>
  <si>
    <t>Tomorrow's Answer</t>
  </si>
  <si>
    <t>high-impact frame, Bipod swapping patched</t>
  </si>
  <si>
    <t>Liturgy</t>
  </si>
  <si>
    <t>overrated last season; generally sort of niche</t>
  </si>
  <si>
    <t>Bolt Charge interaction buff</t>
  </si>
  <si>
    <t>The Prospector</t>
  </si>
  <si>
    <t>overrated damage potential on most boss models</t>
  </si>
  <si>
    <t>D.A.R.C.I.</t>
  </si>
  <si>
    <t>massive buffs (both to self and team)</t>
  </si>
  <si>
    <t>Dead Messenger</t>
  </si>
  <si>
    <t>30% damage means more competitive vs. legendaries</t>
  </si>
  <si>
    <t>Vexcalibur</t>
  </si>
  <si>
    <t>full energy on OS melee kill means infinite OS melee loop</t>
  </si>
  <si>
    <t>Skulking Wolf</t>
  </si>
  <si>
    <t>deaggro effect buff</t>
  </si>
  <si>
    <t>effect not as valuable or slot-efficient in modern sandbox</t>
  </si>
  <si>
    <t>Attrition Orbs</t>
  </si>
  <si>
    <t>not nerfed on Velocity Baton, provably good on other weapons</t>
  </si>
  <si>
    <t>Destabilizing Rounds</t>
  </si>
  <si>
    <t>ICD significantly reduced, Volatile Rounds added</t>
  </si>
  <si>
    <t>Flash Counter</t>
  </si>
  <si>
    <t>disorienting effect more useful given easier activation condition</t>
  </si>
  <si>
    <t>Adaptive Munitions</t>
  </si>
  <si>
    <t>stealth nerf from 450% scaling to 50%</t>
  </si>
  <si>
    <t>Facet of Balance</t>
  </si>
  <si>
    <t>swapped places with Awakening, more frequently used</t>
  </si>
  <si>
    <t>Facet of Awakening</t>
  </si>
  <si>
    <t>swapped places with Balance, less frequently used</t>
  </si>
  <si>
    <t>Spark of Volts</t>
  </si>
  <si>
    <t>H</t>
  </si>
  <si>
    <t>Bolt Charge instead of essentially useless effect</t>
  </si>
  <si>
    <t>Spark of Momentum</t>
  </si>
  <si>
    <t>Spark of Frequency</t>
  </si>
  <si>
    <t>faster stacking effect similar to other B fragments</t>
  </si>
  <si>
    <t>Electrostatic Mind</t>
  </si>
  <si>
    <t>Ionic Trace spam enabling more relevant post-Arc buff</t>
  </si>
  <si>
    <t>Festival of the Lost 2024</t>
  </si>
  <si>
    <t>VH</t>
  </si>
  <si>
    <t>FotL</t>
  </si>
  <si>
    <t>Adagio</t>
  </si>
  <si>
    <t>underrated single shot potential on certain weapon types</t>
  </si>
  <si>
    <t>Adrenaline Junkie</t>
  </si>
  <si>
    <t>overrated uptime on grenades and perk duration</t>
  </si>
  <si>
    <t>Air Trigger</t>
  </si>
  <si>
    <t>underrated reload potential + clarification on reserves</t>
  </si>
  <si>
    <t>Archer's Tempo</t>
  </si>
  <si>
    <t>overrated perk amongst other high tier candidates</t>
  </si>
  <si>
    <t>area denial frame</t>
  </si>
  <si>
    <t>Beacon Rounds</t>
  </si>
  <si>
    <t>underrated reload boost</t>
  </si>
  <si>
    <t>Bipod</t>
  </si>
  <si>
    <t>overrated impact on endgame PvE as a whole</t>
  </si>
  <si>
    <t>Cascade Point</t>
  </si>
  <si>
    <t>too niche to be in S</t>
  </si>
  <si>
    <t>Chaos Reshaped</t>
  </si>
  <si>
    <t>uptime consistency issues</t>
  </si>
  <si>
    <t>expanded weapon type access</t>
  </si>
  <si>
    <t>Closing Time</t>
  </si>
  <si>
    <t>PvP benefits only</t>
  </si>
  <si>
    <t>Cluster Bomb</t>
  </si>
  <si>
    <t>slight tier restructuring</t>
  </si>
  <si>
    <t>Cold Steel</t>
  </si>
  <si>
    <t>underrated when compared to Chill Clip</t>
  </si>
  <si>
    <t>Compulsive Reloader</t>
  </si>
  <si>
    <t>overrated compared to other meta sustained damage perks</t>
  </si>
  <si>
    <t>new approach to actual usability vs. perk effect</t>
  </si>
  <si>
    <t>Deconstruct</t>
  </si>
  <si>
    <t>generally less important in current sandbox</t>
  </si>
  <si>
    <t>Desperado</t>
  </si>
  <si>
    <t>underrated actual DPS increase (comparable to Onslaught x2)</t>
  </si>
  <si>
    <t>Desperate Measures</t>
  </si>
  <si>
    <t>spree perks in general overrated</t>
  </si>
  <si>
    <t>overrated effect and more stringent upper tiers</t>
  </si>
  <si>
    <t>Dual Loader</t>
  </si>
  <si>
    <t>greatly overshadowed by Grave Robber on Trench shotguns</t>
  </si>
  <si>
    <t>Eddy Current</t>
  </si>
  <si>
    <t>underrated Amplified presence in endgame builds</t>
  </si>
  <si>
    <t>En Garde</t>
  </si>
  <si>
    <t>Energy Transfer</t>
  </si>
  <si>
    <t>grouped with other very niche/mediocre reload perks</t>
  </si>
  <si>
    <t>Envious Arsenal</t>
  </si>
  <si>
    <t>best general refill perk in the game</t>
  </si>
  <si>
    <t>significantly more annoying to use + the other EA released</t>
  </si>
  <si>
    <t>Explosive Head</t>
  </si>
  <si>
    <t>moved with the payload perks</t>
  </si>
  <si>
    <t>Explosive Light</t>
  </si>
  <si>
    <t>Explosive Payload</t>
  </si>
  <si>
    <t>lower value in current sandbox compared to before</t>
  </si>
  <si>
    <t>Feeding Frenzy</t>
  </si>
  <si>
    <t>overrated compared to other meta precision damage perks</t>
  </si>
  <si>
    <t>set of boosts not as valuable in current sandbox</t>
  </si>
  <si>
    <t>Full Auto Trigger System</t>
  </si>
  <si>
    <t>overrated RoF increase when Cascade exists</t>
  </si>
  <si>
    <t>Full Court</t>
  </si>
  <si>
    <t>better than previously rated due to lack of HGL damage perks</t>
  </si>
  <si>
    <t>Genesis</t>
  </si>
  <si>
    <t>Golden Tricorn</t>
  </si>
  <si>
    <t>Gutshot Straight</t>
  </si>
  <si>
    <t>really only useful in PvP</t>
  </si>
  <si>
    <t>Harmony</t>
  </si>
  <si>
    <t>overrated compared to other 20% perks in uptime</t>
  </si>
  <si>
    <t>Hatchling</t>
  </si>
  <si>
    <t>underrated threadling damage even without Evolution</t>
  </si>
  <si>
    <t>Headseeker</t>
  </si>
  <si>
    <t>Headstone</t>
  </si>
  <si>
    <t>Jolting Feedback</t>
  </si>
  <si>
    <t>on-hit jolt, generally improves on Voltshot's weaknesses</t>
  </si>
  <si>
    <t>Keep Away</t>
  </si>
  <si>
    <t>barely escapes being PvP-only given common PvE ranges</t>
  </si>
  <si>
    <t>Kill Clip</t>
  </si>
  <si>
    <t>overrated usage on wave frames</t>
  </si>
  <si>
    <t>Killing Tally</t>
  </si>
  <si>
    <t>Killing Wind</t>
  </si>
  <si>
    <t>Lasting Impression</t>
  </si>
  <si>
    <t>overrated benefit in general, much stricter upper tiers</t>
  </si>
  <si>
    <t>Lone Wolf</t>
  </si>
  <si>
    <t>essentially Snapshot for specials</t>
  </si>
  <si>
    <t>Loose Change</t>
  </si>
  <si>
    <t>3.0 debuff application extremely common in current sandbox</t>
  </si>
  <si>
    <t>Meganeura</t>
  </si>
  <si>
    <t>underrated essentially 3x Dragonfly damage</t>
  </si>
  <si>
    <t>Multikill Clip</t>
  </si>
  <si>
    <t>overrated upkeep potential despite high damage bonus</t>
  </si>
  <si>
    <t>One for All</t>
  </si>
  <si>
    <t>Onslaught</t>
  </si>
  <si>
    <t>Outlaw</t>
  </si>
  <si>
    <t>stricter upper tiers</t>
  </si>
  <si>
    <t>Paracausal Affinity</t>
  </si>
  <si>
    <t>Physic</t>
  </si>
  <si>
    <t>underrated importance for support auto usage</t>
  </si>
  <si>
    <t>Pugilist</t>
  </si>
  <si>
    <t>underrated in general for certain weapon types</t>
  </si>
  <si>
    <t>completely outclassed; new approach to perk analysis</t>
  </si>
  <si>
    <t>Recombination</t>
  </si>
  <si>
    <t>overrated in the grand scheme of endgame PvE</t>
  </si>
  <si>
    <t>hit very hard by +2s nerf</t>
  </si>
  <si>
    <t>forgot about wave frame potential</t>
  </si>
  <si>
    <t>Replenishing Aegis</t>
  </si>
  <si>
    <t>1s ICD + unneeded niche</t>
  </si>
  <si>
    <t>overrated for damage given overflow perk nerf</t>
  </si>
  <si>
    <t>Reversal of Fortune</t>
  </si>
  <si>
    <t>possibility of APR synergy</t>
  </si>
  <si>
    <t>Rimestealer</t>
  </si>
  <si>
    <t>restricted to one of the worst subclasses</t>
  </si>
  <si>
    <t>Shield Disorient</t>
  </si>
  <si>
    <t>Shot Swap</t>
  </si>
  <si>
    <t>Sleight of Hand</t>
  </si>
  <si>
    <t>overrated reload benefit and trigger condition</t>
  </si>
  <si>
    <t>underrated usefulness and playstyle transformation on GLs</t>
  </si>
  <si>
    <t>buffed to parity with Slideshot</t>
  </si>
  <si>
    <t>Steady Hands</t>
  </si>
  <si>
    <t>Strategist</t>
  </si>
  <si>
    <t>underrated usefulness for rift regen</t>
  </si>
  <si>
    <t>Subsistence</t>
  </si>
  <si>
    <t>overrated for endgame content</t>
  </si>
  <si>
    <t>Successful Warm-Up</t>
  </si>
  <si>
    <t>Swashbuckler</t>
  </si>
  <si>
    <t>Sword Logic</t>
  </si>
  <si>
    <t>Target Lock</t>
  </si>
  <si>
    <t>underrated trigger difficulty</t>
  </si>
  <si>
    <t>Threat Remover</t>
  </si>
  <si>
    <t>Thresh</t>
  </si>
  <si>
    <t>Timed Payload</t>
  </si>
  <si>
    <t>To The Pain</t>
  </si>
  <si>
    <t>Tracking Module</t>
  </si>
  <si>
    <t>Underdog</t>
  </si>
  <si>
    <t>just awful and not in the game</t>
  </si>
  <si>
    <t>Unstoppable Force</t>
  </si>
  <si>
    <t>unneeded niche on glaives</t>
  </si>
  <si>
    <t>Well-Rounded</t>
  </si>
  <si>
    <t>Whirlwind Blade</t>
  </si>
  <si>
    <t>Withering Gaze</t>
  </si>
  <si>
    <t>niche but irreplaceable in specific scenarios</t>
  </si>
  <si>
    <t>ORIGIN TRAITS</t>
  </si>
  <si>
    <t>stat boost not useful even if trigger isn't awful</t>
  </si>
  <si>
    <t>Alacrity</t>
  </si>
  <si>
    <t>quite noticeable even if only usable solo</t>
  </si>
  <si>
    <t>Ambush</t>
  </si>
  <si>
    <t>overrated damage boost</t>
  </si>
  <si>
    <t>Bitterspite</t>
  </si>
  <si>
    <t>overrated damage requirement ease of use</t>
  </si>
  <si>
    <t>Collective Purpose</t>
  </si>
  <si>
    <t>close to unnoticeable in most instances</t>
  </si>
  <si>
    <t>Crossing Over</t>
  </si>
  <si>
    <t>essentially unnoticeable</t>
  </si>
  <si>
    <t>Dark Ether Reaper</t>
  </si>
  <si>
    <t>underrated neutral play on primaries and LMGs</t>
  </si>
  <si>
    <t>Disaster Plan</t>
  </si>
  <si>
    <t>Dream Work</t>
  </si>
  <si>
    <t>contrary to sentiment, similar use to Restoration Ritual</t>
  </si>
  <si>
    <t>Head Rush</t>
  </si>
  <si>
    <t>Omolon Fluid Dynamics</t>
  </si>
  <si>
    <t>little overrated vs. other perks in same tier</t>
  </si>
  <si>
    <t>Psychohack</t>
  </si>
  <si>
    <t>small damage reduction for a short time, hard to notice</t>
  </si>
  <si>
    <t>Radiolaria Transposer</t>
  </si>
  <si>
    <t>damage pools don't do very much damage, still counter-based</t>
  </si>
  <si>
    <t>Search Party</t>
  </si>
  <si>
    <t>pseudo-Snapshot is noticeable in some cases</t>
  </si>
  <si>
    <t>SUROS Synergy</t>
  </si>
  <si>
    <t>slight tier adjustments to match other E tier placements</t>
  </si>
  <si>
    <t>To Excess</t>
  </si>
  <si>
    <t>Unsated Hunger</t>
  </si>
  <si>
    <t>Vanguard's Vindication</t>
  </si>
  <si>
    <t>10 HP (correction) and noticeable in some cases</t>
  </si>
  <si>
    <t>Wild Card</t>
  </si>
  <si>
    <t>splash is quite small and ICD is unfortunate</t>
  </si>
  <si>
    <t>EXOTIC WEAPONS</t>
  </si>
  <si>
    <t>Ager's Scepter</t>
  </si>
  <si>
    <t>Alethonym</t>
  </si>
  <si>
    <t>ammo farming and vertical movement with no special</t>
  </si>
  <si>
    <t>Arbalest</t>
  </si>
  <si>
    <t>overshadowed by Eriana's Vow and generally not very good</t>
  </si>
  <si>
    <t>Bad Juju</t>
  </si>
  <si>
    <t>explosion frequency buffed heavily</t>
  </si>
  <si>
    <t>Bastion</t>
  </si>
  <si>
    <t>overrated general usefulness in endgame content</t>
  </si>
  <si>
    <t>underrated universal Devour access + great ammo given nerfs</t>
  </si>
  <si>
    <t>still decently ammo-efficient, great burst on majors</t>
  </si>
  <si>
    <t>overrated general damage potential a little</t>
  </si>
  <si>
    <t>Collective Obligation</t>
  </si>
  <si>
    <t>overrated damage potential and understated nicheness</t>
  </si>
  <si>
    <t>Conditional Finality</t>
  </si>
  <si>
    <t>well-designed exotic that doesn't really have a home</t>
  </si>
  <si>
    <t>pretty much irrelevant compared to legendary waves</t>
  </si>
  <si>
    <t>Deterministic Chaos</t>
  </si>
  <si>
    <t>weaken on-hit is less relevant than ever</t>
  </si>
  <si>
    <t>Dragon's Breath</t>
  </si>
  <si>
    <t>too build-dependent for a relatively mediocre effect</t>
  </si>
  <si>
    <t>Edge of Action</t>
  </si>
  <si>
    <t>overshadowed a little by No Hesitation</t>
  </si>
  <si>
    <t>Gjallarhorn</t>
  </si>
  <si>
    <t>ability add clear meta and HGL damage meta</t>
  </si>
  <si>
    <t>Graviton Lance</t>
  </si>
  <si>
    <t>two tiers below Sunshot was too much</t>
  </si>
  <si>
    <t>Ice Breaker</t>
  </si>
  <si>
    <t>gimmicky and not particularly strong for general play</t>
  </si>
  <si>
    <t>Khvostov 7G-0X</t>
  </si>
  <si>
    <t>kinetic on-hit add clear option in Graviton tier</t>
  </si>
  <si>
    <t>Le Monarque</t>
  </si>
  <si>
    <t>slight tier adjustment, better than F tier options</t>
  </si>
  <si>
    <t>Legend of Acrius</t>
  </si>
  <si>
    <t>little overrated due to niche of melee damage</t>
  </si>
  <si>
    <t>reserve buff + reserve mod swap nerf</t>
  </si>
  <si>
    <t>Lumina</t>
  </si>
  <si>
    <t>Malfeasance</t>
  </si>
  <si>
    <t>Lucky Pants nerf</t>
  </si>
  <si>
    <t>Merciless</t>
  </si>
  <si>
    <t>extremely niche and Choir is generally better</t>
  </si>
  <si>
    <t>Necrochasm</t>
  </si>
  <si>
    <t>underrated due to trigger difficulty in high level content</t>
  </si>
  <si>
    <t>excellent super and Transcendence generation for damage</t>
  </si>
  <si>
    <t>Parasite</t>
  </si>
  <si>
    <t>excellent with holsters in roam and DPS content</t>
  </si>
  <si>
    <t>Red Death Reformed</t>
  </si>
  <si>
    <t>no splash damage and unnecessary sustain</t>
  </si>
  <si>
    <t>Revision Zero</t>
  </si>
  <si>
    <t>unimpressive champ damage given windup cost</t>
  </si>
  <si>
    <t>Salvation's Grip</t>
  </si>
  <si>
    <t>too niche to be in E</t>
  </si>
  <si>
    <t>Still Hunt</t>
  </si>
  <si>
    <t>significant nerfs and move towards heavy focus</t>
  </si>
  <si>
    <t>The Fourth Horseman</t>
  </si>
  <si>
    <t>less relevant due to Choir release</t>
  </si>
  <si>
    <t>The Last Word</t>
  </si>
  <si>
    <t>huge buff for LP damage</t>
  </si>
  <si>
    <t>The Navigator</t>
  </si>
  <si>
    <t>less relevant after grapple melee nerfs</t>
  </si>
  <si>
    <t>massive damage profile rework</t>
  </si>
  <si>
    <t>The Wardcliff Coil</t>
  </si>
  <si>
    <t>Raneiks usage</t>
  </si>
  <si>
    <t>Thunderlord</t>
  </si>
  <si>
    <t>underrated for easy universal add clear</t>
  </si>
  <si>
    <t>Ticuu's Divination</t>
  </si>
  <si>
    <t>Tractor Cannon</t>
  </si>
  <si>
    <t>not as meta-defining with weaken prevalence</t>
  </si>
  <si>
    <t>Verglas Curve</t>
  </si>
  <si>
    <t>Whisper of the Worm</t>
  </si>
  <si>
    <t>still strong sustained and total even post-sniper season</t>
  </si>
  <si>
    <t>Wish-Ender</t>
  </si>
  <si>
    <t>Witherhoard</t>
  </si>
  <si>
    <t>Lost Signal release</t>
  </si>
  <si>
    <t>ARCHETYPES</t>
  </si>
  <si>
    <t>Breech GL - Area denial</t>
  </si>
  <si>
    <t>generally very potent in current sandbox</t>
  </si>
  <si>
    <t>Breech GL - Double fire</t>
  </si>
  <si>
    <t>underrated last patch compared to Micro-Missile</t>
  </si>
  <si>
    <t>Drum GL - Adaptive</t>
  </si>
  <si>
    <t>comparatively worse overall vs. rapids post-buff</t>
  </si>
  <si>
    <t>Drum GL - Rapid</t>
  </si>
  <si>
    <t>buffed to become best HGL archetype</t>
  </si>
  <si>
    <t>Hand cannon - Heavy burst</t>
  </si>
  <si>
    <t>nerfed with Lucky Pants and overall damage</t>
  </si>
  <si>
    <t>Shotgun - Heavy burst</t>
  </si>
  <si>
    <t>very similar to slug damage profile</t>
  </si>
  <si>
    <t>Vesper's Host launch</t>
  </si>
  <si>
    <t>VS Velocity Baton</t>
  </si>
  <si>
    <t>best orb generator + decent neutral perks</t>
  </si>
  <si>
    <t>Tusk of the Boar</t>
  </si>
  <si>
    <t>Slideways buff</t>
  </si>
  <si>
    <t>FUSIONS</t>
  </si>
  <si>
    <t>VS Gravitic Arrest</t>
  </si>
  <si>
    <t>worse than Glacioclasm for Withering use, no other perks</t>
  </si>
  <si>
    <t>best HGL by far, excellent perks + new best frame</t>
  </si>
  <si>
    <t>Canis Major</t>
  </si>
  <si>
    <t>new E tier created to better segment HGLs</t>
  </si>
  <si>
    <t>Cry Mutiny</t>
  </si>
  <si>
    <t>Berenger's Memory</t>
  </si>
  <si>
    <t>new F tier created to better segment HGLs</t>
  </si>
  <si>
    <t>Blast Battue</t>
  </si>
  <si>
    <t>Crowd Pleaser</t>
  </si>
  <si>
    <t>Memory Interdict</t>
  </si>
  <si>
    <t>Tarnation</t>
  </si>
  <si>
    <t>overrated perk pool last patch</t>
  </si>
  <si>
    <t>Swarm of the Raven</t>
  </si>
  <si>
    <t>Typhon GL5</t>
  </si>
  <si>
    <t>Acosmic</t>
  </si>
  <si>
    <t>tier shift thanks to VS Chill Inhibitor</t>
  </si>
  <si>
    <t>Bitter/Sweet</t>
  </si>
  <si>
    <t>Edge Transit</t>
  </si>
  <si>
    <t>Interference VI</t>
  </si>
  <si>
    <t>Koraxis's Distress</t>
  </si>
  <si>
    <t>Love and Death</t>
  </si>
  <si>
    <t>Marsilion-C</t>
  </si>
  <si>
    <t>Regnant</t>
  </si>
  <si>
    <t>Wendigo GL3</t>
  </si>
  <si>
    <t>Wicked Sister</t>
  </si>
  <si>
    <t>Bray Legacy</t>
  </si>
  <si>
    <t>more concentration on a better ability, but still not potent</t>
  </si>
  <si>
    <t>decent neutral option for overflow, can also fill DPS heavies</t>
  </si>
  <si>
    <t>Photoinhibition</t>
  </si>
  <si>
    <t>Shield Disorient + nerfed Under-Over = situationally decent</t>
  </si>
  <si>
    <t>Splicer Surge</t>
  </si>
  <si>
    <t>decent reload buff for extremely committal weapons</t>
  </si>
  <si>
    <t>Season 25 launch</t>
  </si>
  <si>
    <t>S24</t>
  </si>
  <si>
    <t>SHOTGUNS</t>
  </si>
  <si>
    <t>reprised perks</t>
  </si>
  <si>
    <t>Deadlock</t>
  </si>
  <si>
    <t>pretty good general perks, just bad frame</t>
  </si>
  <si>
    <t>Legato-11</t>
  </si>
  <si>
    <t>usable as damage solar slug with niche alternative perks</t>
  </si>
  <si>
    <t>Scavenger's Fate</t>
  </si>
  <si>
    <t>bad frame with awful left column and decent damage perks</t>
  </si>
  <si>
    <t>almost identical to Until Its Return + no enhanced 12P</t>
  </si>
  <si>
    <t>new frame looks very promising, good perks</t>
  </si>
  <si>
    <t>SNIPERS</t>
  </si>
  <si>
    <t>great frame and excellent ammo + damage perks</t>
  </si>
  <si>
    <t>free high QoL weaken</t>
  </si>
  <si>
    <t>still mostly mediocre perks</t>
  </si>
  <si>
    <t>best energy rapid-fire overall</t>
  </si>
  <si>
    <t>now gets Reconstruction + burst perks</t>
  </si>
  <si>
    <t>now gets Envious and Withering Gaze</t>
  </si>
  <si>
    <t>significant perks didn't change</t>
  </si>
  <si>
    <t>Militia's with damage potential and Chill Clip</t>
  </si>
  <si>
    <t>underrated Darkness energy build</t>
  </si>
  <si>
    <t>still a core movement option and excellent frame</t>
  </si>
  <si>
    <t>Martyr's Retribution</t>
  </si>
  <si>
    <t>overrated perks over frame</t>
  </si>
  <si>
    <t>GLAIVES</t>
  </si>
  <si>
    <t>Albedo Wing</t>
  </si>
  <si>
    <t>some nice new perks, but nothing standout + bad frame</t>
  </si>
  <si>
    <t>Rake Angle</t>
  </si>
  <si>
    <t>first kinetic slot glaive, has Chill Clip</t>
  </si>
  <si>
    <t>Archon's Thunder</t>
  </si>
  <si>
    <t>much better perks overall, good general and Stasis synergy</t>
  </si>
  <si>
    <t>Avalanche</t>
  </si>
  <si>
    <t>enhanceable and more normal reserves</t>
  </si>
  <si>
    <t>rapid-fire buff</t>
  </si>
  <si>
    <t>rapid-fire buff, better 2nd column</t>
  </si>
  <si>
    <t>Envious Arsenal replacing Envious Assassin/ALH/Recon</t>
  </si>
  <si>
    <t>SWORDS</t>
  </si>
  <si>
    <t>Zephyr</t>
  </si>
  <si>
    <t>enhanceable and has Attrition Orbs</t>
  </si>
  <si>
    <t>ROCKETS</t>
  </si>
  <si>
    <t>Envious Arsenal + BnS potential to be very strong</t>
  </si>
  <si>
    <t>Heretic's Fervor</t>
  </si>
  <si>
    <t>good frame, but no Envious Arsenal or BnS</t>
  </si>
  <si>
    <t>Envious/Recon + BnS adaptive burst</t>
  </si>
  <si>
    <t>PRIMARIES</t>
  </si>
  <si>
    <t>Anonymous Autumn</t>
  </si>
  <si>
    <t>replaced Brigand's Law, better perk diversity and frame</t>
  </si>
  <si>
    <t>Yesterday's Question</t>
  </si>
  <si>
    <t>replaced Maahes HC4, has Vorpal over Frenzy</t>
  </si>
  <si>
    <t>Maahes HC4</t>
  </si>
  <si>
    <t>shifted down to make space for Yesterday's Question</t>
  </si>
  <si>
    <t>Gridskipper</t>
  </si>
  <si>
    <t>replaced Corrasion, has reload + survivability + splash</t>
  </si>
  <si>
    <t>Accrued Redemption</t>
  </si>
  <si>
    <t>Archer's Tempo + KT and other good splash perks</t>
  </si>
  <si>
    <t>Raconteur</t>
  </si>
  <si>
    <t>replaced Vengeful Whisper, shifted down to make space</t>
  </si>
  <si>
    <t>Season 24</t>
  </si>
  <si>
    <t>LF</t>
  </si>
  <si>
    <t>TFS</t>
  </si>
  <si>
    <t>Perfect Paradox</t>
  </si>
  <si>
    <t>best kinetic 12P shotgun</t>
  </si>
  <si>
    <t>Ded Gramarye IV</t>
  </si>
  <si>
    <t>gimmicky add clear perks</t>
  </si>
  <si>
    <t>kinetic bonus removal</t>
  </si>
  <si>
    <t>more forgiving Heritage</t>
  </si>
  <si>
    <t>niche role, no 12P</t>
  </si>
  <si>
    <t>lacks 12P in current meta</t>
  </si>
  <si>
    <t>new perk pool, got Grave + 12P and enhanceable</t>
  </si>
  <si>
    <t>overrated swap aggressives</t>
  </si>
  <si>
    <t>slugs less relevant</t>
  </si>
  <si>
    <t>tiers extended</t>
  </si>
  <si>
    <t>Tractor slug swapping</t>
  </si>
  <si>
    <t>The Domino</t>
  </si>
  <si>
    <t>almost no relevant perks</t>
  </si>
  <si>
    <t>best champ sniper</t>
  </si>
  <si>
    <t>niche damage pick</t>
  </si>
  <si>
    <t>overrated for Cascade</t>
  </si>
  <si>
    <t>IKELOS_SR_v1.0.3</t>
  </si>
  <si>
    <r>
      <rPr>
        <rFont val="Arial"/>
        <color theme="1"/>
      </rPr>
      <t>Succession (</t>
    </r>
    <r>
      <rPr>
        <rFont val="Arial"/>
        <i/>
        <color theme="1"/>
      </rPr>
      <t>BRAVE version)</t>
    </r>
  </si>
  <si>
    <t>Scatter Signal</t>
  </si>
  <si>
    <t>damage focus, Critical Anomaly</t>
  </si>
  <si>
    <t>damage profile matches A tier</t>
  </si>
  <si>
    <t>tiers extended, Critical Anomaly</t>
  </si>
  <si>
    <t>versatile enough to stay</t>
  </si>
  <si>
    <t>Axial Lacuna</t>
  </si>
  <si>
    <t>similar total and DPS to Cartesian</t>
  </si>
  <si>
    <t>best BGL in the game</t>
  </si>
  <si>
    <t>Undercurrent</t>
  </si>
  <si>
    <t>enhanceable</t>
  </si>
  <si>
    <t>good DoT + origin trait</t>
  </si>
  <si>
    <t>Wild Style</t>
  </si>
  <si>
    <t>new perk pool, enhanceable</t>
  </si>
  <si>
    <r>
      <rPr>
        <rFont val="Arial, sans-serif"/>
        <color rgb="FF000000"/>
      </rPr>
      <t>The Mountaintop (</t>
    </r>
    <r>
      <rPr>
        <rFont val="Arial, sans-serif"/>
        <i/>
        <color rgb="FF000000"/>
      </rPr>
      <t>BRAVE version)</t>
    </r>
  </si>
  <si>
    <t>tiers extended, awful new version</t>
  </si>
  <si>
    <t>tiers extended, CR nerf</t>
  </si>
  <si>
    <t>tiers extended, rocket sidearms</t>
  </si>
  <si>
    <r>
      <rPr>
        <rFont val="Arial, sans-serif"/>
        <color rgb="FF000000"/>
      </rPr>
      <t>Forbearance (</t>
    </r>
    <r>
      <rPr>
        <rFont val="Arial, sans-serif"/>
        <i/>
        <color rgb="FF000000"/>
      </rPr>
      <t>BRAVE version</t>
    </r>
    <r>
      <rPr>
        <rFont val="Arial, sans-serif"/>
        <color rgb="FF000000"/>
      </rPr>
      <t>)</t>
    </r>
  </si>
  <si>
    <t>tiers extended, rocket sidearms, Deconstruct nerf, CR nerf</t>
  </si>
  <si>
    <t>tiers extended, worse than Wild Style</t>
  </si>
  <si>
    <t>Other specials</t>
  </si>
  <si>
    <t>Forthcoming Deviance</t>
  </si>
  <si>
    <t>excellent perks</t>
  </si>
  <si>
    <t>Chronophage</t>
  </si>
  <si>
    <t>excellent perks + origin trait</t>
  </si>
  <si>
    <t>Speleologist</t>
  </si>
  <si>
    <t>best Incandescent LMG thanks to origin trait</t>
  </si>
  <si>
    <t>Pro Memoria</t>
  </si>
  <si>
    <t>Demo + good damage perk</t>
  </si>
  <si>
    <t>lack of universal appeal vs. S tier options</t>
  </si>
  <si>
    <r>
      <rPr>
        <rFont val="Arial"/>
        <color theme="1"/>
      </rPr>
      <t>Hammerhead (</t>
    </r>
    <r>
      <rPr>
        <rFont val="Arial"/>
        <i/>
        <color theme="1"/>
      </rPr>
      <t>BRAVE version</t>
    </r>
    <r>
      <rPr>
        <rFont val="Arial"/>
        <color theme="1"/>
      </rPr>
      <t>)</t>
    </r>
  </si>
  <si>
    <t>no reload perk</t>
  </si>
  <si>
    <t>Chain of Command</t>
  </si>
  <si>
    <t>Circular Logic</t>
  </si>
  <si>
    <t>Eleatic Principle</t>
  </si>
  <si>
    <t>Qullim's Terminus</t>
  </si>
  <si>
    <t>Recurrent Impact</t>
  </si>
  <si>
    <t>Retrofit Escapade</t>
  </si>
  <si>
    <t>Seventh Seraph SAW</t>
  </si>
  <si>
    <t>Shattered Cipher</t>
  </si>
  <si>
    <t>THE SWARM</t>
  </si>
  <si>
    <t>Thermal Erosion</t>
  </si>
  <si>
    <t>Crown-Splitter</t>
  </si>
  <si>
    <t>aggressive swords don't receive Pack</t>
  </si>
  <si>
    <t>Throne-Cleaver</t>
  </si>
  <si>
    <t>awful impact</t>
  </si>
  <si>
    <t>Summum Bonum</t>
  </si>
  <si>
    <t>best solo damage sword, light attack only also good</t>
  </si>
  <si>
    <t>False Idols</t>
  </si>
  <si>
    <t>decent Attrition option, lacks Whirlwind</t>
  </si>
  <si>
    <t>Goldtusk</t>
  </si>
  <si>
    <t>good total with Pack Hunter</t>
  </si>
  <si>
    <t>Geodetic HSm</t>
  </si>
  <si>
    <t>higher than normal impact</t>
  </si>
  <si>
    <t>Half-Truths</t>
  </si>
  <si>
    <t>many better Eager swords</t>
  </si>
  <si>
    <t>Ill Omen</t>
  </si>
  <si>
    <t>solid Attrition option</t>
  </si>
  <si>
    <t>Abide the Return</t>
  </si>
  <si>
    <t>Chivalric Fire</t>
  </si>
  <si>
    <t>Double-Edged Answer</t>
  </si>
  <si>
    <t>Dragoncult Sickle</t>
  </si>
  <si>
    <t>Eternity's Edge</t>
  </si>
  <si>
    <t>Hero of Ages</t>
  </si>
  <si>
    <t>Just In Case</t>
  </si>
  <si>
    <t>Nasreddin</t>
  </si>
  <si>
    <t>Negative Space</t>
  </si>
  <si>
    <t>Night Terror</t>
  </si>
  <si>
    <t>Quickfang</t>
  </si>
  <si>
    <t>Razor's Edge</t>
  </si>
  <si>
    <t>Sola's Scar</t>
  </si>
  <si>
    <t>Steel Sybil Z-14</t>
  </si>
  <si>
    <t>Thin Precipice</t>
  </si>
  <si>
    <t>Caretaker</t>
  </si>
  <si>
    <t>Whirlwind buff</t>
  </si>
  <si>
    <t>Honor's Edge</t>
  </si>
  <si>
    <t>Scintillation</t>
  </si>
  <si>
    <t>best-in-slot BnS adaptive</t>
  </si>
  <si>
    <t>Line in the Sand</t>
  </si>
  <si>
    <t>decent BnS precision</t>
  </si>
  <si>
    <t>Suspectum-4fr</t>
  </si>
  <si>
    <t>no ammo regen but P.I. precision</t>
  </si>
  <si>
    <t>Doomed Petitioner</t>
  </si>
  <si>
    <t>Precision Instrument nerf</t>
  </si>
  <si>
    <t>Cataclysmic</t>
  </si>
  <si>
    <t>Corsair's Wrath</t>
  </si>
  <si>
    <t>Fire and Forget</t>
  </si>
  <si>
    <t>Laser Painter</t>
  </si>
  <si>
    <t>Reed's Regret</t>
  </si>
  <si>
    <t>Sailspy Pitchglass</t>
  </si>
  <si>
    <t>Taipan-4fr</t>
  </si>
  <si>
    <t>Tarantula</t>
  </si>
  <si>
    <t>Threaded Needle</t>
  </si>
  <si>
    <t>Other heavies</t>
  </si>
  <si>
    <t>surge matches Still Hunt</t>
  </si>
  <si>
    <t>Faith-Keeper</t>
  </si>
  <si>
    <t>good GM rocket</t>
  </si>
  <si>
    <t>Crowning Duologue</t>
  </si>
  <si>
    <t>new perk pool</t>
  </si>
  <si>
    <t>Primaries</t>
  </si>
  <si>
    <t>Veiled Threat</t>
  </si>
  <si>
    <t>replaced Rufus's Fury, 720 with better origin + StL + DM</t>
  </si>
  <si>
    <t>replaced Abyss Defiant, better archetype + overall use</t>
  </si>
  <si>
    <t>Vengeful Whisper</t>
  </si>
  <si>
    <t>replaced Accrued Redemption, does something different</t>
  </si>
  <si>
    <t>Hush</t>
  </si>
  <si>
    <t>replaced Strident Whistle, better perk pool</t>
  </si>
  <si>
    <t>Tyranny of Heaven</t>
  </si>
  <si>
    <t>replaced Tripwire Canary, shifted down because of new 1</t>
  </si>
  <si>
    <t>Non-Denouement</t>
  </si>
  <si>
    <t>replaced Tyranny of Heaven, Voltshot &gt; Incandescent</t>
  </si>
  <si>
    <t>Warden's Law</t>
  </si>
  <si>
    <t>added damage category</t>
  </si>
  <si>
    <t>Posterity</t>
  </si>
  <si>
    <t>replaced Nation of Beasts, better archetype + perks</t>
  </si>
  <si>
    <t>Nullify</t>
  </si>
  <si>
    <t>replaced Oversoul Edict, insane perks + best archetype</t>
  </si>
  <si>
    <t>Corrasion</t>
  </si>
  <si>
    <t>replaced Darkest Before, good origin + best archetype</t>
  </si>
  <si>
    <t>Doom of Chelchis</t>
  </si>
  <si>
    <t>replaced Trustee, shifted down because of new 1</t>
  </si>
  <si>
    <t>Timeworn Wayfarer</t>
  </si>
  <si>
    <t>replaced Doom of Chelchis, great perks + origin</t>
  </si>
  <si>
    <t>Imminence</t>
  </si>
  <si>
    <t>replaced Adjudicator, better perks</t>
  </si>
  <si>
    <t>Mykel's Reverence</t>
  </si>
  <si>
    <t>replaced Buzzard, higher uptime</t>
  </si>
  <si>
    <t>Breachlight</t>
  </si>
  <si>
    <t>similar archetype to Mykel's, but better neutral perks</t>
  </si>
  <si>
    <t>shifted down because of Imminence</t>
  </si>
  <si>
    <t>many weapons</t>
  </si>
  <si>
    <t>removed champ stun-specific rolls</t>
  </si>
  <si>
    <t>Exotic weapons</t>
  </si>
  <si>
    <t>Ergo Sum</t>
  </si>
  <si>
    <t>best-in-class non-Surrounded sword damage, strong neutral</t>
  </si>
  <si>
    <t>better Radiant access + stronger Barrier options</t>
  </si>
  <si>
    <t>can be used as a higher DPS Divinity for easy crit targets</t>
  </si>
  <si>
    <t>The Lament</t>
  </si>
  <si>
    <t>damage and healing nerf, cannot get Pack Hunter</t>
  </si>
  <si>
    <t>decent option for handling major burst</t>
  </si>
  <si>
    <t>decent survivability option that lacks splash</t>
  </si>
  <si>
    <t>doesn't scale well into endgame content</t>
  </si>
  <si>
    <t>eclipsed by other higher lethality primaries</t>
  </si>
  <si>
    <t>exotic specials are weak + primary buffs</t>
  </si>
  <si>
    <t>Euphony</t>
  </si>
  <si>
    <t>good for total damage special ammo extension</t>
  </si>
  <si>
    <t>Microcosm</t>
  </si>
  <si>
    <t>great day 1-style consistent damage option</t>
  </si>
  <si>
    <t>Izanagi's Burden</t>
  </si>
  <si>
    <t>kinetic special nerf + other strong special exotics for DPS</t>
  </si>
  <si>
    <t>Monte Carlo</t>
  </si>
  <si>
    <t>lackluster damage profile and irrelevant payoff</t>
  </si>
  <si>
    <t>Lost Signal does almost the same job</t>
  </si>
  <si>
    <t>Quicksilver Storm</t>
  </si>
  <si>
    <t>massive scaling and uptime nerf on grenades</t>
  </si>
  <si>
    <t>No Hesitation does similar job without taking up exotic</t>
  </si>
  <si>
    <t>Anarchy</t>
  </si>
  <si>
    <t>only used in speedrunning</t>
  </si>
  <si>
    <t>other higher total damage heavy options</t>
  </si>
  <si>
    <t>Eyes of Tomorrow</t>
  </si>
  <si>
    <t>overrated 4 kill refund perk, pretty clunky</t>
  </si>
  <si>
    <t>overrated against Sunshot given lowman/solo usage</t>
  </si>
  <si>
    <t>Riskrunner</t>
  </si>
  <si>
    <t>overrated DR potential and underrated range issues</t>
  </si>
  <si>
    <t>overrated total damage, other strong exotic heavies now</t>
  </si>
  <si>
    <t>overrated Unstoppable capability + damage</t>
  </si>
  <si>
    <t>Osteo Striga</t>
  </si>
  <si>
    <t>poison ICD added, other strong kinetic splash weapons</t>
  </si>
  <si>
    <t>pretty strong DPS option for melee range</t>
  </si>
  <si>
    <t>pulse buff, craftable, great for building Transcendence</t>
  </si>
  <si>
    <t>rockets moving out of DPS meta, less relevant in GM meta</t>
  </si>
  <si>
    <t>small sniper buff + good meta for it</t>
  </si>
  <si>
    <t>strong on-hit splash damage option</t>
  </si>
  <si>
    <t>strongest DPS exotic of the last 2 years</t>
  </si>
  <si>
    <t>too niche and exists in same slot as Still Hunt</t>
  </si>
  <si>
    <t>Hierarchy of Needs</t>
  </si>
  <si>
    <t>underestimated setup time for disproportionate payoff</t>
  </si>
  <si>
    <t>underrated last patch for survivability</t>
  </si>
  <si>
    <t>Final Warning</t>
  </si>
  <si>
    <t>underrated major burst potential, actually decent boss DPS</t>
  </si>
  <si>
    <t>Polaris Lance</t>
  </si>
  <si>
    <t>very underwhelming with lack of artifact support</t>
  </si>
  <si>
    <t>Warden's Law is generally better without taking up exotic</t>
  </si>
  <si>
    <t>Coldheart</t>
  </si>
  <si>
    <t>increased tier strictness</t>
  </si>
  <si>
    <t>Crimson</t>
  </si>
  <si>
    <t>Cryosthesia 77K</t>
  </si>
  <si>
    <t>Deathbringer</t>
  </si>
  <si>
    <t>Divinity</t>
  </si>
  <si>
    <t>Heartshadow</t>
  </si>
  <si>
    <t>Prometheus Lens</t>
  </si>
  <si>
    <t>Rat King</t>
  </si>
  <si>
    <t>Ruinous Effigy</t>
  </si>
  <si>
    <t>Tarrabah</t>
  </si>
  <si>
    <t>The Huckleberry</t>
  </si>
  <si>
    <t>Thorn</t>
  </si>
  <si>
    <t>Tommy's Matchbook</t>
  </si>
  <si>
    <t>Touch of Malice</t>
  </si>
  <si>
    <t>Traveler's Chosen</t>
  </si>
  <si>
    <t>Trinity Ghoul</t>
  </si>
  <si>
    <t>Two-Tailed Fox</t>
  </si>
  <si>
    <t>Vex Mythoclast</t>
  </si>
  <si>
    <t>Wavesplitter</t>
  </si>
  <si>
    <t>Xenophage</t>
  </si>
  <si>
    <t>Origin traits</t>
  </si>
  <si>
    <t>10% for 2s for free</t>
  </si>
  <si>
    <t>Cursed Thrall</t>
  </si>
  <si>
    <t>best splash origin trait</t>
  </si>
  <si>
    <t>decent handling + free small damage</t>
  </si>
  <si>
    <t>Sundering</t>
  </si>
  <si>
    <t>decent in certain activities</t>
  </si>
  <si>
    <t>does almost nothing</t>
  </si>
  <si>
    <t>Nadir Focus</t>
  </si>
  <si>
    <t>free damage, slightly noticeable</t>
  </si>
  <si>
    <t>Cast No Shadows</t>
  </si>
  <si>
    <t>free Grave Robber</t>
  </si>
  <si>
    <t>handling only</t>
  </si>
  <si>
    <t>Hot Swap</t>
  </si>
  <si>
    <t>Dragon's Vengeance</t>
  </si>
  <si>
    <t>hard to play around</t>
  </si>
  <si>
    <t>One Quiet Moment</t>
  </si>
  <si>
    <t>hard to trigger if playing normally</t>
  </si>
  <si>
    <t>Bray Inheritance</t>
  </si>
  <si>
    <t>less noticeable than expected</t>
  </si>
  <si>
    <t>mediocre effect</t>
  </si>
  <si>
    <t>Restoration Ritual</t>
  </si>
  <si>
    <t>more noticeable than other B tier traits</t>
  </si>
  <si>
    <t>Rasputin's Arsenal</t>
  </si>
  <si>
    <t>more noticeable than other D tier traits</t>
  </si>
  <si>
    <t>more universal version of Cursed Thrall</t>
  </si>
  <si>
    <t>Häkke Breach Armaments</t>
  </si>
  <si>
    <t>pretty niche</t>
  </si>
  <si>
    <t>Harmonic Resonance</t>
  </si>
  <si>
    <t>Dawning Surprise</t>
  </si>
  <si>
    <t>relatively mediocre ability regen</t>
  </si>
  <si>
    <t>Noble Deeds</t>
  </si>
  <si>
    <t>specific playstyle</t>
  </si>
  <si>
    <t>Tex Balanced Stock</t>
  </si>
  <si>
    <t>very unlikely to trigger in PvE</t>
  </si>
  <si>
    <t>Explosive Pact</t>
  </si>
  <si>
    <t>very weak effect, annoying to fully stack</t>
  </si>
  <si>
    <t>works solo</t>
  </si>
  <si>
    <t>Dealer's Choice</t>
  </si>
  <si>
    <t>works with Still Hunt, slightly better than Thresh at x2</t>
  </si>
  <si>
    <t>2 kill to 50 reload is decent</t>
  </si>
  <si>
    <t>aerial version of Field Prep</t>
  </si>
  <si>
    <t>ammo refund patched</t>
  </si>
  <si>
    <t>Counterattack</t>
  </si>
  <si>
    <t>awful to proc consistently</t>
  </si>
  <si>
    <t>best-in-slot sustained damage perk</t>
  </si>
  <si>
    <t>better than PvP-only perks</t>
  </si>
  <si>
    <t>Heal Clip</t>
  </si>
  <si>
    <t>buff to 100HP, insane utility on current weapon field</t>
  </si>
  <si>
    <t>buff to 3 stack + 25%</t>
  </si>
  <si>
    <t>Precision Instrument</t>
  </si>
  <si>
    <t>buffed to 30% when enhanced</t>
  </si>
  <si>
    <t>class ability regen not really needed</t>
  </si>
  <si>
    <t>comparatively better than other 5 stack roam perks</t>
  </si>
  <si>
    <t>Desperate Measures usually better</t>
  </si>
  <si>
    <t>Tilting at Windmills</t>
  </si>
  <si>
    <t>does basically nothing</t>
  </si>
  <si>
    <t>Reverberation</t>
  </si>
  <si>
    <t>does pretty much nothing on all weapon types</t>
  </si>
  <si>
    <t>Dragonfly not really relevant</t>
  </si>
  <si>
    <t>excellent with aggressive shotguns</t>
  </si>
  <si>
    <t>fallen out of meta vs. Envious, Reconstruction, etc.</t>
  </si>
  <si>
    <t>grenade rotations and regen less relevant in sandbox</t>
  </si>
  <si>
    <t>ICD reduced to 3s</t>
  </si>
  <si>
    <t>individual scope reevaulation</t>
  </si>
  <si>
    <t>interacts with Pack Hunter</t>
  </si>
  <si>
    <t>largely overshadowed by Heal Clip</t>
  </si>
  <si>
    <t>largely phased out in current meta</t>
  </si>
  <si>
    <t>less relevant in current meta</t>
  </si>
  <si>
    <t>Archer's Gambit</t>
  </si>
  <si>
    <t>massive draw time reduction, 4th column though</t>
  </si>
  <si>
    <t>melee energy gains not really relevant</t>
  </si>
  <si>
    <t>more relevant for burst</t>
  </si>
  <si>
    <t>nerf to Restoration tier, still decent</t>
  </si>
  <si>
    <t>overrated last patch</t>
  </si>
  <si>
    <t>Wellspring</t>
  </si>
  <si>
    <t>overrated last patch for swapping</t>
  </si>
  <si>
    <t>perk swap allows for 50% total increase</t>
  </si>
  <si>
    <t>post-buff 50 reload + scalar is easy to proc</t>
  </si>
  <si>
    <t>Collective Action</t>
  </si>
  <si>
    <t>Prismatic subclass pickup generation</t>
  </si>
  <si>
    <t>received QoL buffs</t>
  </si>
  <si>
    <t>reevaluated neutral purpose (HGLs)</t>
  </si>
  <si>
    <t>Incandescent</t>
  </si>
  <si>
    <t>reevaluated, definitely better</t>
  </si>
  <si>
    <t>reevaluated; best roam damage perk</t>
  </si>
  <si>
    <t>Dragonfly</t>
  </si>
  <si>
    <t>silghtly underrated last patch</t>
  </si>
  <si>
    <t>slightly less relevant</t>
  </si>
  <si>
    <t>slightly underrated damage increase</t>
  </si>
  <si>
    <t>some handling gain while doing damage</t>
  </si>
  <si>
    <t>Tap The Trigger</t>
  </si>
  <si>
    <t>some use in PvE for StL weapons</t>
  </si>
  <si>
    <t>Air Assault</t>
  </si>
  <si>
    <t>Backup Plan</t>
  </si>
  <si>
    <t>Barrel Constrictor</t>
  </si>
  <si>
    <t>Blunt Execution Rounds</t>
  </si>
  <si>
    <t>Box Breathing</t>
  </si>
  <si>
    <t>Disruption Break</t>
  </si>
  <si>
    <t>Duelist's Trance</t>
  </si>
  <si>
    <t>Dynamic Sway Reduction</t>
  </si>
  <si>
    <t>Elemental Capacitor</t>
  </si>
  <si>
    <t>Encore</t>
  </si>
  <si>
    <t>Eye of the Storm</t>
  </si>
  <si>
    <t>Firmly Planted</t>
  </si>
  <si>
    <t>Fragile Focus</t>
  </si>
  <si>
    <t>Heating Up</t>
  </si>
  <si>
    <t>Hip-Fire Grip</t>
  </si>
  <si>
    <t>Immovable Object</t>
  </si>
  <si>
    <t>Invisible Hand</t>
  </si>
  <si>
    <t>Iron Gaze</t>
  </si>
  <si>
    <t>Iron Grip</t>
  </si>
  <si>
    <t>Iron Reach</t>
  </si>
  <si>
    <t>Magnificent Howl</t>
  </si>
  <si>
    <t>Moving Target</t>
  </si>
  <si>
    <t>No Distractions</t>
  </si>
  <si>
    <t>Offhand Strike</t>
  </si>
  <si>
    <t>Opening Shot</t>
  </si>
  <si>
    <t>Osmosis</t>
  </si>
  <si>
    <t>Perfect Float</t>
  </si>
  <si>
    <t>Permeability</t>
  </si>
  <si>
    <t>Perpetual Motion</t>
  </si>
  <si>
    <t>Rangefinder</t>
  </si>
  <si>
    <t>Shattering Blade</t>
  </si>
  <si>
    <t>Slickdraw</t>
  </si>
  <si>
    <t>Sympathetic Arsenal</t>
  </si>
  <si>
    <t>Tireless Blade</t>
  </si>
  <si>
    <t>Tunnel Vision</t>
  </si>
  <si>
    <t>Turnabout</t>
  </si>
  <si>
    <t>Under Pressure</t>
  </si>
  <si>
    <t>Valiant Charge</t>
  </si>
  <si>
    <t>Zen Moment</t>
  </si>
  <si>
    <t>Assassin's Blade</t>
  </si>
  <si>
    <t>Bottomless Grief</t>
  </si>
  <si>
    <t>Celerity</t>
  </si>
  <si>
    <t>Close to Melee</t>
  </si>
  <si>
    <t>Kickstart</t>
  </si>
  <si>
    <t>Master of Arms</t>
  </si>
  <si>
    <t>Mulligan</t>
  </si>
  <si>
    <t>Pulse Monitor</t>
  </si>
  <si>
    <t>Snapshot Sights</t>
  </si>
  <si>
    <t>Sneak Bow</t>
  </si>
  <si>
    <t>Surrounded</t>
  </si>
  <si>
    <t>Under-Over</t>
  </si>
  <si>
    <t>Circle of Life</t>
  </si>
  <si>
    <t>tough competition in-slot, similar damage perks</t>
  </si>
  <si>
    <t>Slice</t>
  </si>
  <si>
    <t>Stats for All</t>
  </si>
  <si>
    <t>Firefly</t>
  </si>
  <si>
    <t>underrated reload + splash perk</t>
  </si>
  <si>
    <t>underrated RoF increase on shotguns</t>
  </si>
  <si>
    <t>useless since no ready handling until shot fired</t>
  </si>
  <si>
    <t>Kinetic Tremors</t>
  </si>
  <si>
    <t>worthy of being next to other A tier perks</t>
  </si>
  <si>
    <t>Echo of Cessation</t>
  </si>
  <si>
    <t>Echo of Dilation</t>
  </si>
  <si>
    <t>Echo of Domineering</t>
  </si>
  <si>
    <t>Echo of Exchange</t>
  </si>
  <si>
    <t>Echo of Expulsion</t>
  </si>
  <si>
    <t>Echo of Harvest</t>
  </si>
  <si>
    <t>Echo of Instability</t>
  </si>
  <si>
    <t>Echo of Leeching</t>
  </si>
  <si>
    <t>Echo of Obscurity</t>
  </si>
  <si>
    <t>Echo of Persistence</t>
  </si>
  <si>
    <t>Echo of Provision</t>
  </si>
  <si>
    <t>Echo of Remnants</t>
  </si>
  <si>
    <t>Echo of Reprisal</t>
  </si>
  <si>
    <t>Echo of Starvation</t>
  </si>
  <si>
    <t>Echo of Undermining</t>
  </si>
  <si>
    <t>Echo of Vigilance</t>
  </si>
  <si>
    <t>Ember of Ashes</t>
  </si>
  <si>
    <t>Ember of Beams</t>
  </si>
  <si>
    <t>Ember of Benevolence</t>
  </si>
  <si>
    <t>Ember of Blistering</t>
  </si>
  <si>
    <t>Ember of Char</t>
  </si>
  <si>
    <t>Ember of Combustion</t>
  </si>
  <si>
    <t>Ember of Empyrean</t>
  </si>
  <si>
    <t>Ember of Eruption</t>
  </si>
  <si>
    <t>Ember of Mercy</t>
  </si>
  <si>
    <t>Ember of Resolve</t>
  </si>
  <si>
    <t>Ember of Searing</t>
  </si>
  <si>
    <t>Ember of Singeing</t>
  </si>
  <si>
    <t>Ember of Solace</t>
  </si>
  <si>
    <t>Ember of Tempering</t>
  </si>
  <si>
    <t>Ember of Torches</t>
  </si>
  <si>
    <t>Ember of Wonder</t>
  </si>
  <si>
    <t>Facet of Blessing</t>
  </si>
  <si>
    <t>Facet of Bravery</t>
  </si>
  <si>
    <t>Facet of Command</t>
  </si>
  <si>
    <t>Facet of Courage</t>
  </si>
  <si>
    <t>Facet of Dawn</t>
  </si>
  <si>
    <t>Facet of Defiance</t>
  </si>
  <si>
    <t>Facet of Devotion</t>
  </si>
  <si>
    <t>Facet of Dominance</t>
  </si>
  <si>
    <t>Facet of Generosity</t>
  </si>
  <si>
    <t>Facet of Grace</t>
  </si>
  <si>
    <t>Facet of Honor</t>
  </si>
  <si>
    <t>Facet of Hope</t>
  </si>
  <si>
    <t>Facet of Justice</t>
  </si>
  <si>
    <t>Facet of Mending</t>
  </si>
  <si>
    <t>Facet of Protection</t>
  </si>
  <si>
    <t>Facet of Purpose</t>
  </si>
  <si>
    <t>Facet of Ruin</t>
  </si>
  <si>
    <t>Facet of Sacrifice</t>
  </si>
  <si>
    <t>Facet of Solitude</t>
  </si>
  <si>
    <t>Spark of Amplitude</t>
  </si>
  <si>
    <t>Spark of Beacons</t>
  </si>
  <si>
    <t>Spark of Brilliance</t>
  </si>
  <si>
    <t>Spark of Discharge</t>
  </si>
  <si>
    <t>Spark of Feedback</t>
  </si>
  <si>
    <t>Spark of Focus</t>
  </si>
  <si>
    <t>Spark of Haste</t>
  </si>
  <si>
    <t>Spark of Instinct</t>
  </si>
  <si>
    <t>Spark of Ions</t>
  </si>
  <si>
    <t>Spark of Magnitude</t>
  </si>
  <si>
    <t>Spark of Recharge</t>
  </si>
  <si>
    <t>Spark of Resistance</t>
  </si>
  <si>
    <t>Spark of Shock</t>
  </si>
  <si>
    <t>Thread of Ascent</t>
  </si>
  <si>
    <t>Thread of Binding</t>
  </si>
  <si>
    <t>Thread of Continuity</t>
  </si>
  <si>
    <t>Thread of Evolution</t>
  </si>
  <si>
    <t>Thread of Finality</t>
  </si>
  <si>
    <t>Thread of Fury</t>
  </si>
  <si>
    <t>Thread of Generation</t>
  </si>
  <si>
    <t>Thread of Isolation</t>
  </si>
  <si>
    <t>Thread of Mind</t>
  </si>
  <si>
    <t>Thread of Propagation</t>
  </si>
  <si>
    <t>Thread of Rebirth</t>
  </si>
  <si>
    <t>Thread of Transmutation</t>
  </si>
  <si>
    <t>Thread of Warding</t>
  </si>
  <si>
    <t>Thread of Wisdom</t>
  </si>
  <si>
    <t>Whisper of Bonds</t>
  </si>
  <si>
    <t>Whisper of Chains</t>
  </si>
  <si>
    <t>Whisper of Chill</t>
  </si>
  <si>
    <t>Whisper of Conduction</t>
  </si>
  <si>
    <t>Whisper of Durance</t>
  </si>
  <si>
    <t>Whisper of Fissures</t>
  </si>
  <si>
    <t>Whisper of Fractures</t>
  </si>
  <si>
    <t>Whisper of Hedrons</t>
  </si>
  <si>
    <t>Whisper of Hunger</t>
  </si>
  <si>
    <t>Whisper of Impetus</t>
  </si>
  <si>
    <t>Whisper of Refraction</t>
  </si>
  <si>
    <t>Whisper of Rending</t>
  </si>
  <si>
    <t>Whisper of Reversal</t>
  </si>
  <si>
    <t>Whisper of Rime</t>
  </si>
  <si>
    <t>Whisper of Shards</t>
  </si>
  <si>
    <t>Whisper of Torment</t>
  </si>
  <si>
    <t>Arc Soul</t>
  </si>
  <si>
    <t>Ascension</t>
  </si>
  <si>
    <t>Chaos Accelerant</t>
  </si>
  <si>
    <t>Child of the Old Gods</t>
  </si>
  <si>
    <t>Consecration</t>
  </si>
  <si>
    <t>Diamond Lance</t>
  </si>
  <si>
    <t>Drengr's Lash</t>
  </si>
  <si>
    <t>Ensnaring Slam</t>
  </si>
  <si>
    <t>Feed the Void</t>
  </si>
  <si>
    <t>Flechette Storm</t>
  </si>
  <si>
    <t>Flow State</t>
  </si>
  <si>
    <t>Glacial Harvest</t>
  </si>
  <si>
    <t>Grim Harvest</t>
  </si>
  <si>
    <t>Gunpowder Gamble</t>
  </si>
  <si>
    <t>Heat Rises</t>
  </si>
  <si>
    <t>Hellion</t>
  </si>
  <si>
    <t>Howl of the Storm</t>
  </si>
  <si>
    <t>Knockout</t>
  </si>
  <si>
    <t>Lightning Surge</t>
  </si>
  <si>
    <t>Mindspun Invocation</t>
  </si>
  <si>
    <t>Offensive Bulwark</t>
  </si>
  <si>
    <t>On Your Mark</t>
  </si>
  <si>
    <t>Shatterdive</t>
  </si>
  <si>
    <t>Stylish Executioner</t>
  </si>
  <si>
    <t>The Wanderer</t>
  </si>
  <si>
    <t>Threaded Specter</t>
  </si>
  <si>
    <t>Touch of Thunder</t>
  </si>
  <si>
    <t>Unbreakable</t>
  </si>
  <si>
    <t>Vanishing Step</t>
  </si>
  <si>
    <t>Weaver's Call</t>
  </si>
  <si>
    <t>Weavewalk</t>
  </si>
  <si>
    <t>Winter's Shroud</t>
  </si>
  <si>
    <t>🖼️</t>
  </si>
  <si>
    <t>Source</t>
  </si>
  <si>
    <t>#</t>
  </si>
  <si>
    <t>Priority</t>
  </si>
  <si>
    <t>Column 1</t>
  </si>
  <si>
    <t>Column 2</t>
  </si>
  <si>
    <t>Alternatives</t>
  </si>
  <si>
    <t>DPS heavy sniper</t>
  </si>
  <si>
    <t>energy LP HC</t>
  </si>
  <si>
    <t>Air Trigger
Cooling Baubles</t>
  </si>
  <si>
    <t>Agape
Yesterday's Question
Maahes HC4</t>
  </si>
  <si>
    <t>energy rocket pulse</t>
  </si>
  <si>
    <t>Solo / Fireteam Ops</t>
  </si>
  <si>
    <t>Blast Distributor
Trickle Charge</t>
  </si>
  <si>
    <t>energy rocket sidearm</t>
  </si>
  <si>
    <t>Crucible</t>
  </si>
  <si>
    <t>Heal Clip
Impromptu Ammunition</t>
  </si>
  <si>
    <t>Incandescent
Redirection</t>
  </si>
  <si>
    <t>Aberrant Action
Lotus-Eater
Indebted Kindness</t>
  </si>
  <si>
    <t>exotic burst damage</t>
  </si>
  <si>
    <t>Exotic quest</t>
  </si>
  <si>
    <t>Legend of Acrius
Still Hunt
Whirling Ovation</t>
  </si>
  <si>
    <t>exotic debuff</t>
  </si>
  <si>
    <t>Quest</t>
  </si>
  <si>
    <t>exotic multitool</t>
  </si>
  <si>
    <t>Destabilizing Rounds
Onslaught</t>
  </si>
  <si>
    <t>Praxic Blade
Ergo Sum</t>
  </si>
  <si>
    <t>exotic total damage</t>
  </si>
  <si>
    <t>Wolfsbane
New Land Beyond
Anarchy</t>
  </si>
  <si>
    <t>grapple melee setup</t>
  </si>
  <si>
    <t>Ghosts of the Deep</t>
  </si>
  <si>
    <t>kinetic rocket pulse</t>
  </si>
  <si>
    <t>Mint Retrograde</t>
  </si>
  <si>
    <t>Pinnacle Ops</t>
  </si>
  <si>
    <t>Rewind Rounds
Envious Arsenal</t>
  </si>
  <si>
    <t>Elemental Honing
Bait and Switch
Master of Arms</t>
  </si>
  <si>
    <t>movement GL</t>
  </si>
  <si>
    <t>Events</t>
  </si>
  <si>
    <t>Air Trigger
Slideshot
Envious Arsenal</t>
  </si>
  <si>
    <t>Bipod
Chain Reaction
Aggregate Charge</t>
  </si>
  <si>
    <t>Theodolite
The Mountaintop
Alethonym</t>
  </si>
  <si>
    <t>movement sword</t>
  </si>
  <si>
    <t>Equilibrium</t>
  </si>
  <si>
    <t>Eager Edge</t>
  </si>
  <si>
    <t>Assassin's Blade
Destabilizing Rounds
Binary Orbit</t>
  </si>
  <si>
    <t>The Slammer
Falling Guillotine</t>
  </si>
  <si>
    <t>add clear area denial</t>
  </si>
  <si>
    <t>Vesper's Host</t>
  </si>
  <si>
    <t>medium</t>
  </si>
  <si>
    <t>Repulsor Brace
Demolitionist</t>
  </si>
  <si>
    <t>Destabilizing Rounds
Attrition Orbs</t>
  </si>
  <si>
    <t>Motif-41
Festival Flight</t>
  </si>
  <si>
    <t>damage area denial</t>
  </si>
  <si>
    <t>Vorpal Weapon
Attrition Orbs</t>
  </si>
  <si>
    <t>Lost Signal
Psychopomp</t>
  </si>
  <si>
    <t>DPS crossbow</t>
  </si>
  <si>
    <t>Submersion
Opaque Hourglass</t>
  </si>
  <si>
    <t>DPS sword</t>
  </si>
  <si>
    <t>Call to Arms</t>
  </si>
  <si>
    <t>Relentless Strikes
Attrition Orbs
Sharp Harvest</t>
  </si>
  <si>
    <t>Elemental Honing
Eager Edge
Burning Ambition</t>
  </si>
  <si>
    <t>Bequest
Geodetic HSm
Summum Bonum</t>
  </si>
  <si>
    <t>energy 12p shotgun</t>
  </si>
  <si>
    <t>Operation: Seraph's Shield</t>
  </si>
  <si>
    <t>Grave Robber
Threat Detector
Pugilist</t>
  </si>
  <si>
    <t>One-Two Punch
Surrounded
Cascade Point</t>
  </si>
  <si>
    <t>Starscape Null
Dead Weight
Prophet of Doom</t>
  </si>
  <si>
    <t>energy orb primary</t>
  </si>
  <si>
    <t>Solstice 2025</t>
  </si>
  <si>
    <t>Chaos Reshaped
Incandescent
Burning Ambition</t>
  </si>
  <si>
    <t>energy StL primary</t>
  </si>
  <si>
    <t>Tarnished Mettle</t>
  </si>
  <si>
    <t>Season 18</t>
  </si>
  <si>
    <t>Sublimation
Nature Reclaimed
Brya's Love</t>
  </si>
  <si>
    <t>energy trace</t>
  </si>
  <si>
    <t>Guardian Games</t>
  </si>
  <si>
    <t>Shoot to Loot
Fourth Time's the Charm</t>
  </si>
  <si>
    <t>Chain Reaction
Rolling Storm
Detonator Beam</t>
  </si>
  <si>
    <t>Chronophage
Retraced Path
Path of Least Resistance</t>
  </si>
  <si>
    <t>exotic add clear heavy</t>
  </si>
  <si>
    <t>Xenophage
Thunderlord</t>
  </si>
  <si>
    <t>exotic energy primary</t>
  </si>
  <si>
    <t>Sunshot
Trinity Ghoul</t>
  </si>
  <si>
    <t>kinetic 12p shotgun</t>
  </si>
  <si>
    <t>Pugilist
Field Prep
Threat Detector</t>
  </si>
  <si>
    <t>One-Two Punch
Trench Barrel
Vorpal Weapon</t>
  </si>
  <si>
    <t>Swordbreaker
Wastelander M5
Deadlock</t>
  </si>
  <si>
    <t>kinetic damage sniper</t>
  </si>
  <si>
    <t>Bait and Switch</t>
  </si>
  <si>
    <t>Praedyth's Revenge
Lance Ephemeral
Something Something</t>
  </si>
  <si>
    <t>kinetic orb primary</t>
  </si>
  <si>
    <t>Iron Banner</t>
  </si>
  <si>
    <t>Peculiar Charm
M-17 "Fast Talker"</t>
  </si>
  <si>
    <t>kinetic rocket sidearm</t>
  </si>
  <si>
    <t>Air Trigger
Impulse Amplifier
Deconstruct</t>
  </si>
  <si>
    <t>Chill Clip
Surrounded
Desperate Measures</t>
  </si>
  <si>
    <t>The Call</t>
  </si>
  <si>
    <t>kinetic StL primary</t>
  </si>
  <si>
    <t>Trials of Osiris</t>
  </si>
  <si>
    <t>Shoot to Loot
Firefly</t>
  </si>
  <si>
    <t>Explosive Payload
Tear</t>
  </si>
  <si>
    <t>Vulpecula
Hung Jury SR4
Perses-D</t>
  </si>
  <si>
    <t>kinetic trace</t>
  </si>
  <si>
    <t>Shoot to Loot
Tear</t>
  </si>
  <si>
    <t>Detonator Beam
Hatchling</t>
  </si>
  <si>
    <t>Action Item
Incisor
Ribbontail</t>
  </si>
  <si>
    <t>special QoL StL</t>
  </si>
  <si>
    <t>Destabilizing Rounds
Withering Gaze</t>
  </si>
  <si>
    <t>survivability primary</t>
  </si>
  <si>
    <t>Crota's End</t>
  </si>
  <si>
    <t>Repulsor Brace
Dragonfly</t>
  </si>
  <si>
    <t>Drang
Evening SI4
Compact Defender</t>
  </si>
  <si>
    <t>teammate support</t>
  </si>
  <si>
    <t>Pale Heart</t>
  </si>
  <si>
    <t>Incandescent
Circle of Life
Attrition Orbs</t>
  </si>
  <si>
    <t>The Navigator
Cusp Sempiternal
Adamantite</t>
  </si>
  <si>
    <t>Withering primary</t>
  </si>
  <si>
    <t>Joxer's Longsword
Exalted Truth
High Tyrant</t>
  </si>
  <si>
    <t>ammoless damage</t>
  </si>
  <si>
    <t>Zero Hour</t>
  </si>
  <si>
    <t xml:space="preserve">M-17 "Fast Talker"
Antedate
Agape
</t>
  </si>
  <si>
    <t>DPS rocket</t>
  </si>
  <si>
    <t>Vault of Glass</t>
  </si>
  <si>
    <t>Envious Arsenal
Cluster Bomb
Overflow</t>
  </si>
  <si>
    <t>Bait and Switch
Elemental Honing
Bipod</t>
  </si>
  <si>
    <t>The When and Where
Cold Comfort (RotN)
Tomorrow's Answer</t>
  </si>
  <si>
    <t>energy damage fusion</t>
  </si>
  <si>
    <t>The Beacon</t>
  </si>
  <si>
    <t>Rewind Rounds
Lead from Gold
Demolitionist</t>
  </si>
  <si>
    <t>Bait and Switch
Controlled Burst
Deconstruct</t>
  </si>
  <si>
    <t>Finite Maybe
Zealot's Reward
Techeun Force</t>
  </si>
  <si>
    <t>energy DPS shotgun</t>
  </si>
  <si>
    <t>Envious Arsenal
High-Impact Reserves</t>
  </si>
  <si>
    <t>Unvoiced
Arcane Embrace
A Sudden Death</t>
  </si>
  <si>
    <t>energy glaive</t>
  </si>
  <si>
    <t>Salvation's Edge</t>
  </si>
  <si>
    <t>Demolitionist
Grave Robber
Disruption Break</t>
  </si>
  <si>
    <t>Chaos Reshaped
Destabilizing Rounds
Close to Melee</t>
  </si>
  <si>
    <t>The Heron
Nezarec's Whisper
The Enigma</t>
  </si>
  <si>
    <t>exotic burst roam</t>
  </si>
  <si>
    <t>Kiosk</t>
  </si>
  <si>
    <t>Still Hunt
Izanagi's Burden
Choir of One</t>
  </si>
  <si>
    <t>kinetic blinding GL</t>
  </si>
  <si>
    <t>Season 25</t>
  </si>
  <si>
    <t>Slideways
Envious Arsenal</t>
  </si>
  <si>
    <t>Chill Clip
Lead from Gold
Chain Reaction</t>
  </si>
  <si>
    <t>The Militia's Birthright
Ignition Code
Pardon Our Dust</t>
  </si>
  <si>
    <t>kinetic glaive</t>
  </si>
  <si>
    <t>Nightfall</t>
  </si>
  <si>
    <t>Impulse Amplifier
Lead from Gold
Overflow</t>
  </si>
  <si>
    <t>Chill Clip
Close to Melee</t>
  </si>
  <si>
    <t>machine gun</t>
  </si>
  <si>
    <t>Song of Ir Yût</t>
  </si>
  <si>
    <t>Demolitionist
Reconstruction</t>
  </si>
  <si>
    <t>High Ground
Bait and Switch</t>
  </si>
  <si>
    <t>Qua Vinctus IV
Corrective Measure
Ulterior Observation</t>
  </si>
  <si>
    <t>Withering special</t>
  </si>
  <si>
    <t>Monody-44
Glacioclasm
Sovereignty</t>
  </si>
  <si>
    <t>add clear rocket</t>
  </si>
  <si>
    <t>niche</t>
  </si>
  <si>
    <t>Haliaetus
Folded Root
Micromort</t>
  </si>
  <si>
    <t>DPS HGL</t>
  </si>
  <si>
    <t>Bait and Switch
Explosive Light</t>
  </si>
  <si>
    <t>The Ever-Present
Cataphract GL3
VS Chill Inhibitor</t>
  </si>
  <si>
    <t>DPS linear</t>
  </si>
  <si>
    <t>Bait and Switch
Surrounded</t>
  </si>
  <si>
    <t>Mistral Lift
Doomed Petitioner
Cataclysmic</t>
  </si>
  <si>
    <t>energy add clear wave</t>
  </si>
  <si>
    <t>Repulsor Brace
Proximity Power</t>
  </si>
  <si>
    <t>Destabilizing Rounds
Chain Reaction
Surrounded</t>
  </si>
  <si>
    <t>Martyr's Retribution
Forbearance</t>
  </si>
  <si>
    <t>energy blinding GL</t>
  </si>
  <si>
    <t>Spire of the Watcher</t>
  </si>
  <si>
    <t>Auto-Loading Holster
Demolitionist</t>
  </si>
  <si>
    <t>Frenzy
Vorpal Weapon
Lead from Gold</t>
  </si>
  <si>
    <t>Wild Style
Empty Vessel</t>
  </si>
  <si>
    <t>energy damage sniper</t>
  </si>
  <si>
    <t>Garden of Salvation</t>
  </si>
  <si>
    <t>Fourth Time's the Charm
Envious Arsenal</t>
  </si>
  <si>
    <t>Precision Instrument
Vorpal Weapon</t>
  </si>
  <si>
    <t>IKELOS_SR_V1.0.3
Shoreline Dissident
Keen Thistle</t>
  </si>
  <si>
    <t>exotic kinetic primary</t>
  </si>
  <si>
    <t>Necrochasm
Bad Juju
Outbreak Perfected</t>
  </si>
  <si>
    <t>kinetic add clear wave</t>
  </si>
  <si>
    <t>Dawning 2025</t>
  </si>
  <si>
    <t>Rimestealer
Demolitionist
Blast Distributor</t>
  </si>
  <si>
    <t>Crystalline Corpsebloom
Reaper's Tithe
Wellspring</t>
  </si>
  <si>
    <t>Tusk of the Boar
New Pacific Epitaph</t>
  </si>
  <si>
    <t>kinetic damage fusion</t>
  </si>
  <si>
    <t>Auto-Loading Holster
Overflow</t>
  </si>
  <si>
    <t>Lionfish-4fr
Scatter Signal
Burden of Guilt</t>
  </si>
  <si>
    <t>kinetic DPS shotgun</t>
  </si>
  <si>
    <t>Trench Barrel
One-Two Punch</t>
  </si>
  <si>
    <t>Imperial Decree
Heritage</t>
  </si>
  <si>
    <t>kinetic LP HC</t>
  </si>
  <si>
    <t>Vorpal Weapon
Grave Robber</t>
  </si>
  <si>
    <t>Cascade Point
One-Two Punch
Trench Barrel</t>
  </si>
  <si>
    <t>Unloved
Warden's Law</t>
  </si>
  <si>
    <t>INFO</t>
  </si>
  <si>
    <t>TIER</t>
  </si>
  <si>
    <r>
      <rPr>
        <rFont val="Arial"/>
        <b/>
        <color theme="1"/>
        <sz val="7.0"/>
      </rPr>
      <t>minor</t>
    </r>
    <r>
      <rPr>
        <rFont val="Arial"/>
        <b/>
        <color theme="1"/>
      </rPr>
      <t xml:space="preserve">
DPS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</si>
  <si>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DPS</t>
    </r>
  </si>
  <si>
    <r>
      <rPr>
        <rFont val="Arial"/>
        <b/>
        <color theme="1"/>
        <sz val="7.0"/>
      </rPr>
      <t>boss</t>
    </r>
    <r>
      <rPr>
        <rFont val="Arial"/>
        <b/>
        <color theme="1"/>
      </rPr>
      <t xml:space="preserve">
DPS</t>
    </r>
  </si>
  <si>
    <r>
      <rPr>
        <rFont val="Arial"/>
        <b/>
        <color rgb="FF000000"/>
        <sz val="7.0"/>
      </rPr>
      <t>boss</t>
    </r>
    <r>
      <rPr>
        <rFont val="Arial"/>
        <b/>
        <color rgb="FF000000"/>
      </rPr>
      <t xml:space="preserve">
per-Shot</t>
    </r>
  </si>
  <si>
    <r>
      <rPr>
        <rFont val="Arial"/>
        <b/>
        <color rgb="FF181A1B"/>
        <sz val="7.0"/>
      </rPr>
      <t>minor</t>
    </r>
    <r>
      <rPr>
        <rFont val="Arial"/>
        <b/>
        <color rgb="FF181A1B"/>
      </rPr>
      <t xml:space="preserve">
Scalar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</si>
  <si>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Scalar</t>
    </r>
  </si>
  <si>
    <r>
      <rPr>
        <rFont val="Arial"/>
        <b/>
        <color rgb="FF181A1B"/>
        <sz val="7.0"/>
      </rPr>
      <t>average</t>
    </r>
    <r>
      <rPr>
        <rFont val="Arial"/>
        <b/>
        <color rgb="FF181A1B"/>
      </rPr>
      <t xml:space="preserve">
Brick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</si>
  <si>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</si>
  <si>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 xml:space="preserve">boss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</si>
  <si>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rgb="FF181A1B"/>
      </rPr>
      <t>Brick</t>
    </r>
  </si>
  <si>
    <r>
      <rPr>
        <rFont val="Arial"/>
        <b/>
        <color theme="1"/>
        <sz val="7.0"/>
      </rPr>
      <t xml:space="preserve">boss
</t>
    </r>
    <r>
      <rPr>
        <rFont val="Arial"/>
        <b/>
        <color rgb="FF181A1B"/>
      </rPr>
      <t>Brick</t>
    </r>
  </si>
  <si>
    <r>
      <rPr>
        <rFont val="Arial"/>
        <b/>
        <color theme="1"/>
        <sz val="7.0"/>
      </rPr>
      <t xml:space="preserve">ADS falloff
</t>
    </r>
    <r>
      <rPr>
        <rFont val="Arial"/>
        <b/>
        <color theme="1"/>
      </rPr>
      <t>Range</t>
    </r>
  </si>
  <si>
    <r>
      <rPr>
        <rFont val="Arial"/>
        <b/>
        <color theme="1"/>
        <sz val="7.0"/>
      </rPr>
      <t xml:space="preserve">average
</t>
    </r>
    <r>
      <rPr>
        <rFont val="Arial"/>
        <b/>
        <color theme="1"/>
      </rPr>
      <t>Reload</t>
    </r>
  </si>
  <si>
    <t>Example</t>
  </si>
  <si>
    <t>Breech grenade launcher</t>
  </si>
  <si>
    <t>Area Denial</t>
  </si>
  <si>
    <t>Drum grenade launcher</t>
  </si>
  <si>
    <t>Rapid-Fire</t>
  </si>
  <si>
    <t>Rocket launcher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</si>
  <si>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</si>
  <si>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t>Micro-Missile</t>
  </si>
  <si>
    <t>Machine gun</t>
  </si>
  <si>
    <t>Commemoration</t>
  </si>
  <si>
    <t>Fixed Odds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</si>
  <si>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</si>
  <si>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</si>
  <si>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t>The Other Half</t>
  </si>
  <si>
    <r>
      <rPr>
        <rFont val="Arial"/>
        <color theme="1"/>
      </rPr>
      <t xml:space="preserve">Caster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</si>
  <si>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Wave
</t>
    </r>
    <r>
      <rPr>
        <rFont val="Arial"/>
        <i/>
        <color theme="1"/>
        <sz val="8.0"/>
      </rPr>
      <t>Pack Hunter</t>
    </r>
  </si>
  <si>
    <t>Auto rifle</t>
  </si>
  <si>
    <t>Support</t>
  </si>
  <si>
    <t>INF</t>
  </si>
  <si>
    <t>Hand cannon</t>
  </si>
  <si>
    <t>Midnight Coup</t>
  </si>
  <si>
    <t>Rose</t>
  </si>
  <si>
    <t>Pulse rifle</t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</si>
  <si>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Pack Hunter</t>
    </r>
  </si>
  <si>
    <t>Semiotician</t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</si>
  <si>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Pack Hunter</t>
    </r>
  </si>
  <si>
    <t>Palmyra-B</t>
  </si>
  <si>
    <t>Sniper rifle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</si>
  <si>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</si>
  <si>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Pack Hunter</t>
    </r>
  </si>
  <si>
    <t>Fusion rifle</t>
  </si>
  <si>
    <t>Smite of Merain</t>
  </si>
  <si>
    <t>Blast Furnace</t>
  </si>
  <si>
    <t>BxR-55 Battler</t>
  </si>
  <si>
    <t>Chattering Bone</t>
  </si>
  <si>
    <t>Darkest Before</t>
  </si>
  <si>
    <t>Pinpoint Slug</t>
  </si>
  <si>
    <r>
      <rPr>
        <rFont val="Arial"/>
        <color theme="1"/>
      </rPr>
      <t xml:space="preserve">Vortex
</t>
    </r>
    <r>
      <rPr>
        <rFont val="Arial"/>
        <i/>
        <color theme="1"/>
        <sz val="8.0"/>
      </rPr>
      <t>Pack Hunter</t>
    </r>
  </si>
  <si>
    <t>Falling Guillotine</t>
  </si>
  <si>
    <t>Trace rifle</t>
  </si>
  <si>
    <t>The Summoner</t>
  </si>
  <si>
    <t>The Riposte</t>
  </si>
  <si>
    <t>Rufus's Fury</t>
  </si>
  <si>
    <t>Point of the Stag</t>
  </si>
  <si>
    <t>Penumbra GSm</t>
  </si>
  <si>
    <t>Glaive</t>
  </si>
  <si>
    <t>The Enigma</t>
  </si>
  <si>
    <t>Linear fusion rifle</t>
  </si>
  <si>
    <t>Adaptive Burst</t>
  </si>
  <si>
    <t>The Messenger</t>
  </si>
  <si>
    <t>Buzzard</t>
  </si>
  <si>
    <t>Heliocentric QSc</t>
  </si>
  <si>
    <t>Boudica-C</t>
  </si>
  <si>
    <t>Abyss Defiant</t>
  </si>
  <si>
    <t>Shadow Price</t>
  </si>
  <si>
    <t>Judgment of Kelgorath</t>
  </si>
  <si>
    <t>Scout rifle</t>
  </si>
  <si>
    <t>Night Watch</t>
  </si>
  <si>
    <t>Hung Jury SR4</t>
  </si>
  <si>
    <t>Randy's Throwing Knife</t>
  </si>
  <si>
    <t>Parabellum</t>
  </si>
  <si>
    <t>IKELOS_SMG_V1.0.3</t>
  </si>
  <si>
    <t>The Recluse</t>
  </si>
  <si>
    <t>Shayura's Wrath</t>
  </si>
  <si>
    <t>Igneous Hammer</t>
  </si>
  <si>
    <t>Transfiguration</t>
  </si>
  <si>
    <t>DATA</t>
  </si>
  <si>
    <t>ANALYSIS</t>
  </si>
  <si>
    <r>
      <rPr>
        <rFont val="Arial"/>
        <b/>
        <color rgb="FF000000"/>
        <sz val="7.0"/>
      </rPr>
      <t>TFS</t>
    </r>
    <r>
      <rPr>
        <rFont val="Arial"/>
        <b/>
        <color rgb="FF000000"/>
      </rPr>
      <t xml:space="preserve">
Damage</t>
    </r>
  </si>
  <si>
    <r>
      <rPr>
        <rFont val="Arial"/>
        <b/>
        <color rgb="FF000000"/>
        <sz val="7.0"/>
      </rPr>
      <t>base</t>
    </r>
    <r>
      <rPr>
        <rFont val="Arial"/>
        <b/>
        <color rgb="FF000000"/>
      </rPr>
      <t xml:space="preserve">
Damage</t>
    </r>
  </si>
  <si>
    <r>
      <rPr>
        <rFont val="Arial"/>
        <b/>
        <color rgb="FF181A1B"/>
        <sz val="7.0"/>
      </rPr>
      <t>minor</t>
    </r>
    <r>
      <rPr>
        <rFont val="Arial"/>
        <b/>
        <color rgb="FF181A1B"/>
      </rPr>
      <t xml:space="preserve">
Scalar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</si>
  <si>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Scalar</t>
    </r>
  </si>
  <si>
    <r>
      <rPr>
        <rFont val="Arial"/>
        <b/>
        <color rgb="FF000000"/>
        <sz val="7.0"/>
      </rPr>
      <t>crit</t>
    </r>
    <r>
      <rPr>
        <rFont val="Arial"/>
        <b/>
        <color rgb="FF000000"/>
      </rPr>
      <t xml:space="preserve">
Multi</t>
    </r>
  </si>
  <si>
    <r>
      <rPr>
        <rFont val="Arial"/>
        <b/>
        <color rgb="FF000000"/>
        <sz val="7.0"/>
      </rPr>
      <t>max</t>
    </r>
    <r>
      <rPr>
        <rFont val="Arial"/>
        <b/>
        <color rgb="FF000000"/>
      </rPr>
      <t xml:space="preserve">
Ammo</t>
    </r>
  </si>
  <si>
    <r>
      <rPr>
        <rFont val="Arial"/>
        <b/>
        <color rgb="FF000000"/>
        <sz val="7.0"/>
      </rPr>
      <t>shot-to-shot</t>
    </r>
    <r>
      <rPr>
        <rFont val="Arial"/>
        <b/>
        <color rgb="FF000000"/>
      </rPr>
      <t xml:space="preserve">
Time</t>
    </r>
  </si>
  <si>
    <r>
      <rPr>
        <rFont val="Arial"/>
        <b/>
        <color rgb="FF000000"/>
        <sz val="7.0"/>
      </rPr>
      <t>true</t>
    </r>
    <r>
      <rPr>
        <rFont val="Arial"/>
        <b/>
        <color rgb="FF000000"/>
      </rPr>
      <t xml:space="preserve">
RPM</t>
    </r>
  </si>
  <si>
    <r>
      <rPr>
        <rFont val="Arial"/>
        <b/>
        <color theme="1"/>
        <sz val="7.0"/>
      </rPr>
      <t xml:space="preserve">typical / max
</t>
    </r>
    <r>
      <rPr>
        <rFont val="Arial"/>
        <b/>
        <color theme="1"/>
      </rPr>
      <t>Reload</t>
    </r>
  </si>
  <si>
    <r>
      <rPr>
        <rFont val="Arial"/>
        <b/>
        <color theme="1"/>
        <sz val="7.0"/>
      </rPr>
      <t xml:space="preserve">typical
</t>
    </r>
    <r>
      <rPr>
        <rFont val="Arial"/>
        <b/>
        <color theme="1"/>
      </rPr>
      <t>Mag</t>
    </r>
  </si>
  <si>
    <r>
      <rPr>
        <rFont val="Arial"/>
        <b/>
        <color theme="1"/>
        <sz val="7.0"/>
      </rPr>
      <t xml:space="preserve">mag dump
</t>
    </r>
    <r>
      <rPr>
        <rFont val="Arial"/>
        <b/>
        <color theme="1"/>
      </rPr>
      <t>Time</t>
    </r>
  </si>
  <si>
    <r>
      <rPr>
        <rFont val="Arial"/>
        <b/>
        <color rgb="FF181A1B"/>
        <sz val="7.0"/>
      </rPr>
      <t>max</t>
    </r>
    <r>
      <rPr>
        <rFont val="Arial"/>
        <b/>
        <color rgb="FF181A1B"/>
      </rPr>
      <t xml:space="preserve">
Brick</t>
    </r>
  </si>
  <si>
    <r>
      <rPr>
        <rFont val="Arial"/>
        <b/>
        <color theme="1"/>
        <sz val="7.0"/>
      </rPr>
      <t>1mag</t>
    </r>
    <r>
      <rPr>
        <rFont val="Arial"/>
        <b/>
        <color theme="1"/>
      </rPr>
      <t xml:space="preserve">
MDPS</t>
    </r>
  </si>
  <si>
    <r>
      <rPr>
        <rFont val="Arial"/>
        <b/>
        <color theme="1"/>
        <sz val="7.0"/>
      </rPr>
      <t>Luna</t>
    </r>
    <r>
      <rPr>
        <rFont val="Arial"/>
        <b/>
        <color theme="1"/>
      </rPr>
      <t xml:space="preserve">
MDPS</t>
    </r>
  </si>
  <si>
    <r>
      <rPr>
        <rFont val="Arial"/>
        <b/>
        <color rgb="FFFFFFFF"/>
        <sz val="7.0"/>
      </rPr>
      <t>typical</t>
    </r>
    <r>
      <rPr>
        <rFont val="Arial"/>
        <b/>
        <color rgb="FFFFFFFF"/>
      </rPr>
      <t xml:space="preserve">
MDPS</t>
    </r>
  </si>
  <si>
    <r>
      <rPr>
        <rFont val="Arial"/>
        <b/>
        <color rgb="FFFFFFFF"/>
        <sz val="7.0"/>
      </rPr>
      <t>body</t>
    </r>
    <r>
      <rPr>
        <rFont val="Arial"/>
        <b/>
        <color rgb="FFFFFFFF"/>
      </rPr>
      <t xml:space="preserve">
MDPS</t>
    </r>
  </si>
  <si>
    <r>
      <rPr>
        <rFont val="Arial"/>
        <b/>
        <color rgb="FFFFFFFF"/>
        <sz val="7.0"/>
      </rPr>
      <t>typical</t>
    </r>
    <r>
      <rPr>
        <rFont val="Arial"/>
        <b/>
        <color rgb="FFFFFFFF"/>
      </rPr>
      <t xml:space="preserve">
EDPS</t>
    </r>
  </si>
  <si>
    <r>
      <rPr>
        <rFont val="Arial"/>
        <b/>
        <color rgb="FFFFFFFF"/>
        <sz val="7.0"/>
      </rPr>
      <t>add</t>
    </r>
    <r>
      <rPr>
        <rFont val="Arial"/>
        <b/>
        <color rgb="FFFFFFFF"/>
      </rPr>
      <t xml:space="preserve">
Sum</t>
    </r>
  </si>
  <si>
    <r>
      <rPr>
        <rFont val="Arial"/>
        <b/>
        <color rgb="FFFFFFFF"/>
        <sz val="7.0"/>
      </rPr>
      <t>1mag</t>
    </r>
    <r>
      <rPr>
        <rFont val="Arial"/>
        <b/>
        <color rgb="FFFFFFFF"/>
      </rPr>
      <t xml:space="preserve">
BDPS</t>
    </r>
  </si>
  <si>
    <r>
      <rPr>
        <rFont val="Arial"/>
        <b/>
        <color theme="1"/>
        <sz val="7.0"/>
      </rPr>
      <t>Luna</t>
    </r>
    <r>
      <rPr>
        <rFont val="Arial"/>
        <b/>
        <color theme="1"/>
      </rPr>
      <t xml:space="preserve">
BDPS</t>
    </r>
  </si>
  <si>
    <r>
      <rPr>
        <rFont val="Arial"/>
        <b/>
        <color theme="1"/>
        <sz val="7.0"/>
      </rPr>
      <t>typical</t>
    </r>
    <r>
      <rPr>
        <rFont val="Arial"/>
        <b/>
        <color theme="1"/>
      </rPr>
      <t xml:space="preserve">
BDPS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</si>
  <si>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theme="1"/>
      </rPr>
      <t>Total</t>
    </r>
  </si>
  <si>
    <r>
      <rPr>
        <rFont val="Arial"/>
        <b/>
        <color rgb="FFFFFFFF"/>
        <sz val="7.0"/>
      </rPr>
      <t xml:space="preserve">boss
</t>
    </r>
    <r>
      <rPr>
        <rFont val="Arial"/>
        <b/>
        <color rgb="FFFFFFFF"/>
      </rPr>
      <t>Total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</si>
  <si>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rgb="FF181A1B"/>
      </rPr>
      <t>Brick</t>
    </r>
  </si>
  <si>
    <r>
      <rPr>
        <rFont val="Arial"/>
        <b/>
        <color rgb="FFFFFFFF"/>
        <sz val="7.0"/>
      </rPr>
      <t xml:space="preserve">boss
</t>
    </r>
    <r>
      <rPr>
        <rFont val="Arial"/>
        <b/>
        <color rgb="FFFFFFFF"/>
      </rPr>
      <t>Brick</t>
    </r>
  </si>
  <si>
    <r>
      <rPr>
        <rFont val="Arial"/>
        <b/>
        <color theme="1"/>
        <sz val="7.0"/>
      </rPr>
      <t xml:space="preserve">ADS falloff
</t>
    </r>
    <r>
      <rPr>
        <rFont val="Arial"/>
        <b/>
        <color theme="1"/>
      </rPr>
      <t>Range</t>
    </r>
  </si>
  <si>
    <t>still excellent and easy super-generating damage even post-nerf</t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</si>
  <si>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Charged Bolts</t>
    </r>
  </si>
  <si>
    <t>very high potential ceiling for damage rotations with refill perks</t>
  </si>
  <si>
    <t>Disruption</t>
  </si>
  <si>
    <t>matches linear context but actually good damage profile</t>
  </si>
  <si>
    <t>Dynamic (140RPM)</t>
  </si>
  <si>
    <t>very interesting damage option with high total and perk ceiling</t>
  </si>
  <si>
    <t>Dynamic (180RPM)</t>
  </si>
  <si>
    <t>insane DPS with Lucky Pants, otherwise okay for ammo-sensitive neutral</t>
  </si>
  <si>
    <t>outshined by micro-missile pulse but still a pretty decent and more ammo-sensitive option</t>
  </si>
  <si>
    <t>a little niche but role-defining in certain content</t>
  </si>
  <si>
    <t>Grenade launcher - breech</t>
  </si>
  <si>
    <t>versatile for Transcendence gains, applying splash effects, and for total damage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</si>
  <si>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Accelerated Coils</t>
    </r>
  </si>
  <si>
    <t>best 1mag BDPS post-buff, still a bit awkward to use on some bosses</t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</si>
  <si>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Accelerated Coils</t>
    </r>
  </si>
  <si>
    <t>big total damage outlier, very underrated</t>
  </si>
  <si>
    <r>
      <rPr>
        <rFont val="Arial"/>
        <color theme="1"/>
      </rPr>
      <t xml:space="preserve">Rapid-Fire
</t>
    </r>
    <r>
      <rPr>
        <rFont val="Arial"/>
        <i/>
        <color theme="1"/>
        <sz val="8.0"/>
      </rPr>
      <t>Accelerated Coils</t>
    </r>
  </si>
  <si>
    <t>still the best overall "easy fusion" with QoL charge time</t>
  </si>
  <si>
    <t>slightly behind aggressives but not noticeably so</t>
  </si>
  <si>
    <t>best overall damage profile amongst glaives</t>
  </si>
  <si>
    <r>
      <rPr>
        <rFont val="Arial"/>
        <color theme="1"/>
      </rPr>
      <t xml:space="preserve">Micro-Missile
</t>
    </r>
    <r>
      <rPr>
        <rFont val="Arial"/>
        <i/>
        <color theme="1"/>
        <sz val="8.0"/>
      </rPr>
      <t>Implosion Rounds</t>
    </r>
  </si>
  <si>
    <t>good for movement and not much else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</si>
  <si>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body</t>
    </r>
  </si>
  <si>
    <t>underrated sustained DPS given reload cancel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</si>
  <si>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</si>
  <si>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t>niche burst option for some scenarios, slowly being eclipsed from below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</si>
  <si>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</si>
  <si>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t>most realistic option for most shotgun damage content</t>
  </si>
  <si>
    <r>
      <rPr>
        <rFont val="Arial"/>
        <color theme="1"/>
      </rPr>
      <t xml:space="preserve">Rapid
</t>
    </r>
    <r>
      <rPr>
        <rFont val="Arial"/>
        <i/>
        <color theme="1"/>
        <sz val="8.0"/>
      </rPr>
      <t>body</t>
    </r>
  </si>
  <si>
    <t>highest shot count for 12P, solid damage with Trench Barrel and other perks as well</t>
  </si>
  <si>
    <t>similar total to other non-heat snipers but better DPS and FTTC compatibility</t>
  </si>
  <si>
    <r>
      <rPr>
        <rFont val="Arial"/>
        <color theme="1"/>
      </rPr>
      <t xml:space="preserve">Caster
</t>
    </r>
    <r>
      <rPr>
        <rFont val="Arial"/>
        <i/>
        <color theme="1"/>
        <sz val="8.0"/>
      </rPr>
      <t>Pack Hunter</t>
    </r>
  </si>
  <si>
    <t>has heavy attack chunking and solid tick-based synergy</t>
  </si>
  <si>
    <r>
      <rPr>
        <rFont val="Arial"/>
        <color theme="1"/>
      </rPr>
      <t xml:space="preserve">Wave
</t>
    </r>
    <r>
      <rPr>
        <rFont val="Arial"/>
        <i/>
        <color theme="1"/>
        <sz val="8.0"/>
      </rPr>
      <t>Pack Hunter</t>
    </r>
  </si>
  <si>
    <t>best overall archetype post-wave fix</t>
  </si>
  <si>
    <t>interchangeable machine gun, not as relevant in current endgame sandbox</t>
  </si>
  <si>
    <t>higher total than other LMG archetypes</t>
  </si>
  <si>
    <t>Spread Shot</t>
  </si>
  <si>
    <t>huge statistical outlier but a little niche and close-range</t>
  </si>
  <si>
    <t>might take getting used to but strongest stat performance of sidearms</t>
  </si>
  <si>
    <t>slow reload but strong overall damage profile</t>
  </si>
  <si>
    <t>useful for shooting objectives and keeping special, decent add clear score as well</t>
  </si>
  <si>
    <t>interchangeable decent sidearm</t>
  </si>
  <si>
    <t>better reload ceiling than heat variant but worse damage profile</t>
  </si>
  <si>
    <t>surprisingly solid performance for SMG family</t>
  </si>
  <si>
    <t>Dynamic (360RPM)</t>
  </si>
  <si>
    <t>excellent 1mag MDPS value, great if heat management is doable</t>
  </si>
  <si>
    <t>solid QoL but damage profile suffers a fair amount compared to sidearms</t>
  </si>
  <si>
    <t>Balanced (900RPM)</t>
  </si>
  <si>
    <t>BiS for PKs but worse than best SMG archetypes otherwise</t>
  </si>
  <si>
    <t>slightly worse than lightweight but not hugely noticeably different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</si>
  <si>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Accelerated Coils</t>
    </r>
  </si>
  <si>
    <t>middling damage profile</t>
  </si>
  <si>
    <t>big underperformer in total damage due to identical shot count to other glaives</t>
  </si>
  <si>
    <t>Grenade launcher - drum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</si>
  <si>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Spike Grenades</t>
    </r>
  </si>
  <si>
    <t>pretty much completely out of the meta for most purposes</t>
  </si>
  <si>
    <r>
      <rPr>
        <rFont val="Arial"/>
        <color theme="1"/>
      </rPr>
      <t xml:space="preserve">Rapid
</t>
    </r>
    <r>
      <rPr>
        <rFont val="Arial"/>
        <i/>
        <color theme="1"/>
        <sz val="8.0"/>
      </rPr>
      <t>Spike Grenades</t>
    </r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</si>
  <si>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Pack Hunter</t>
    </r>
  </si>
  <si>
    <t>high total without sacrificing too much DPS vs. top performers, still not great</t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</si>
  <si>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body</t>
    </r>
  </si>
  <si>
    <t>high QoL given bonuses but awful damage profile</t>
  </si>
  <si>
    <t>just worse than heavy burst in most circumstances</t>
  </si>
  <si>
    <t>Rapid-Fire Slug</t>
  </si>
  <si>
    <t>just worse than heavy burst in every way</t>
  </si>
  <si>
    <t>no real benefit over other two archetypes</t>
  </si>
  <si>
    <t>high damage per shot but still usually outclassed by rapids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</si>
  <si>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</si>
  <si>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t>worst piercing/tracking of the bunch, okay damage profile if applicable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</si>
  <si>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</si>
  <si>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t>similar to lightweight profile, pretty unremarkable</t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</si>
  <si>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Pack Hunter</t>
    </r>
  </si>
  <si>
    <t>mediocre damage but high total ammo for Eager and easy to use</t>
  </si>
  <si>
    <t>awkward QoL given fire rate and spray pattern</t>
  </si>
  <si>
    <t>decent damage profile but poor QoL due to crit multi and slow base reload</t>
  </si>
  <si>
    <t>worse damage profile than other sidearms</t>
  </si>
  <si>
    <t>Balanced (260RPM)</t>
  </si>
  <si>
    <t>noticeably large mag and great damage profile for a scout</t>
  </si>
  <si>
    <t>interchangeable pulse rifle</t>
  </si>
  <si>
    <t>high QoL archetype given damage per shot, not amazing in lower power</t>
  </si>
  <si>
    <t>outlier amongst autos, solid damage profile</t>
  </si>
  <si>
    <t>Balanced (450RPM)</t>
  </si>
  <si>
    <t>similar performance to rapid except with heat benefits</t>
  </si>
  <si>
    <t>Dynamic (540RPM)</t>
  </si>
  <si>
    <t>interchangeable pulse rifle (except heat)</t>
  </si>
  <si>
    <t>former scout rifle leader, still pretty solid</t>
  </si>
  <si>
    <t>Balanced (540RPM)</t>
  </si>
  <si>
    <t>interchangeable auto rifle</t>
  </si>
  <si>
    <t>has some QoL benefits vs. other similar profile scouts</t>
  </si>
  <si>
    <t>similar to adaptive but lower RPM and QoL</t>
  </si>
  <si>
    <t>outclassed by area denials</t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</si>
  <si>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Accelerated Coils</t>
    </r>
  </si>
  <si>
    <t>still an underperformer amongst fusions post-buff</t>
  </si>
  <si>
    <r>
      <rPr>
        <rFont val="Arial"/>
        <color theme="1"/>
      </rPr>
      <t xml:space="preserve">Double Fire
</t>
    </r>
    <r>
      <rPr>
        <rFont val="Arial"/>
        <i/>
        <color theme="1"/>
        <sz val="8.0"/>
      </rPr>
      <t>Spike Grenades</t>
    </r>
  </si>
  <si>
    <t>largely irrelevant for endgame</t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</si>
  <si>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Spike Grenades</t>
    </r>
  </si>
  <si>
    <r>
      <rPr>
        <rFont val="Arial"/>
        <color theme="1"/>
      </rPr>
      <t xml:space="preserve">Adaptive Burst
</t>
    </r>
    <r>
      <rPr>
        <rFont val="Arial"/>
        <i/>
        <color theme="1"/>
        <sz val="8.0"/>
      </rPr>
      <t>Accelerated Coils</t>
    </r>
  </si>
  <si>
    <t>awful damage profile given precision requirement and existence of crossbows</t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</si>
  <si>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Accelerated Coils</t>
    </r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</si>
  <si>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Pack Hunter</t>
    </r>
  </si>
  <si>
    <t>no real reason to pick over other rocket archetypes</t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</si>
  <si>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body</t>
    </r>
  </si>
  <si>
    <t>same shot damage as lightweight but worse in every other way</t>
  </si>
  <si>
    <r>
      <rPr>
        <rFont val="Arial"/>
        <color theme="1"/>
      </rPr>
      <t xml:space="preserve">Vortex
</t>
    </r>
    <r>
      <rPr>
        <rFont val="Arial"/>
        <i/>
        <color theme="1"/>
        <sz val="8.0"/>
      </rPr>
      <t>Pack Hunter</t>
    </r>
  </si>
  <si>
    <t>awful heavy ammo economy and damage profile overall</t>
  </si>
  <si>
    <t>significantly worse total than other LMGs for no real gain</t>
  </si>
  <si>
    <t>surprisingly alright profile but QoL and low RPM make this less usable</t>
  </si>
  <si>
    <t>lowest QoL pulse archetype and bad damage profile to boot</t>
  </si>
  <si>
    <t>feels bad and has poor damage profile compared to top-tier scouts</t>
  </si>
  <si>
    <t>worse range than high-impact and somehow worse damage profile too</t>
  </si>
  <si>
    <t>worst QoL of scouts, 1mag DPS is decent but reload tradeoff is very noticeable</t>
  </si>
  <si>
    <t>worst SMG archetype in every way</t>
  </si>
  <si>
    <t>generally irrelevant for primary use cases in endgame</t>
  </si>
  <si>
    <t>High-Impact Longbow</t>
  </si>
  <si>
    <t>Melee</t>
  </si>
  <si>
    <t>Effect</t>
  </si>
  <si>
    <t>Stat</t>
  </si>
  <si>
    <t>Super</t>
  </si>
  <si>
    <t>Grenade</t>
  </si>
  <si>
    <t>Class</t>
  </si>
  <si>
    <t>Aspect</t>
  </si>
  <si>
    <t>Exotic Class C1</t>
  </si>
  <si>
    <t>Exotic Class C2</t>
  </si>
  <si>
    <t>Orb = Amplified / Restoration / Frost Armor / Woven Mail / Overshield</t>
  </si>
  <si>
    <t>-10 rec</t>
  </si>
  <si>
    <t>Hunter</t>
  </si>
  <si>
    <t>Storm's Edge</t>
  </si>
  <si>
    <t>Arcbolt</t>
  </si>
  <si>
    <t>Combination Blow</t>
  </si>
  <si>
    <t>Marksman's Dodge</t>
  </si>
  <si>
    <t>Ascension (3)</t>
  </si>
  <si>
    <t>Spirit of the Assassin</t>
  </si>
  <si>
    <t>Spirit of the Star-Eater</t>
  </si>
  <si>
    <t>?% class regen when elemental buffed</t>
  </si>
  <si>
    <t>Golden Gun: Marksman</t>
  </si>
  <si>
    <t>Swarm</t>
  </si>
  <si>
    <t>Knife Trick</t>
  </si>
  <si>
    <t>Gambler's Dodge</t>
  </si>
  <si>
    <t>Gunpowder Gamble (3)</t>
  </si>
  <si>
    <t>Spirit of the Inmost Light</t>
  </si>
  <si>
    <t>Spirit of the Synthoceps</t>
  </si>
  <si>
    <t>Fissures + Eruption</t>
  </si>
  <si>
    <t>Silence and Squall</t>
  </si>
  <si>
    <t>Duskfield</t>
  </si>
  <si>
    <t>Withering Blade</t>
  </si>
  <si>
    <t>Acrobat's Dodge</t>
  </si>
  <si>
    <t>Winter's Shroud (3)</t>
  </si>
  <si>
    <t>Spirit of the Ophidian</t>
  </si>
  <si>
    <t>Spirit of Verity</t>
  </si>
  <si>
    <t>Torches except kill required for allied Radiant</t>
  </si>
  <si>
    <t>-10 str</t>
  </si>
  <si>
    <t>Silkstrike</t>
  </si>
  <si>
    <t>Grapple</t>
  </si>
  <si>
    <t>Threaded Spike</t>
  </si>
  <si>
    <t>Threaded Specter (3)</t>
  </si>
  <si>
    <t>Spirit of the Dragon</t>
  </si>
  <si>
    <t>Spirit of Cyrtarachne</t>
  </si>
  <si>
    <t>Resistance except enhanced while Transcendent</t>
  </si>
  <si>
    <t>Shadowshot: Deadfall</t>
  </si>
  <si>
    <t>Magnetic</t>
  </si>
  <si>
    <t>Snare Bomb</t>
  </si>
  <si>
    <t>Stylish Executioner (2)</t>
  </si>
  <si>
    <t>Spirit of Galanor</t>
  </si>
  <si>
    <t>Spirit of Gyrfalcon</t>
  </si>
  <si>
    <t>Light/Dark multikills = melee/grenade energy</t>
  </si>
  <si>
    <t>Hailfire Spike</t>
  </si>
  <si>
    <t>Spirit of the Foetracer</t>
  </si>
  <si>
    <t>Spirit of the Liar</t>
  </si>
  <si>
    <t>Instability + Propagation</t>
  </si>
  <si>
    <t>Spirit of Caliban</t>
  </si>
  <si>
    <t>Spirit of the Wormhusk</t>
  </si>
  <si>
    <t>Finisher = jolt / scorch / slow / sever / volatile</t>
  </si>
  <si>
    <t>Spirit of Renewal</t>
  </si>
  <si>
    <t>Spirit of the Coyote</t>
  </si>
  <si>
    <t>Undermining + Shock</t>
  </si>
  <si>
    <t>-10 dis</t>
  </si>
  <si>
    <t>Orbs on Transcendent kills</t>
  </si>
  <si>
    <t>Transcendence energy on kinetic damage and super kills</t>
  </si>
  <si>
    <t>-10 res</t>
  </si>
  <si>
    <t>Titan</t>
  </si>
  <si>
    <t>Twilight Arsenal</t>
  </si>
  <si>
    <t>Suppressor</t>
  </si>
  <si>
    <t>Shield Throw</t>
  </si>
  <si>
    <t>Rally Barricade</t>
  </si>
  <si>
    <t>Unbreakable (3)</t>
  </si>
  <si>
    <t>Expulsion except for any subclass and only while Transcendent</t>
  </si>
  <si>
    <t>Thundercrash</t>
  </si>
  <si>
    <t>Pulse</t>
  </si>
  <si>
    <t>Thunderclap</t>
  </si>
  <si>
    <t>Towering Barricade</t>
  </si>
  <si>
    <t>Knockout (2)</t>
  </si>
  <si>
    <t>?% Light ability damage to Dark-debuffed enemies</t>
  </si>
  <si>
    <t>Bladefury</t>
  </si>
  <si>
    <t>Shackle</t>
  </si>
  <si>
    <t>Frenzied Blade</t>
  </si>
  <si>
    <t>Thruster</t>
  </si>
  <si>
    <t>Drengr's Lash (3)</t>
  </si>
  <si>
    <t>Leeching except Transcendent required for allied regen</t>
  </si>
  <si>
    <t>Hammer of Sol</t>
  </si>
  <si>
    <t>Thermite</t>
  </si>
  <si>
    <t>Hammer Strike</t>
  </si>
  <si>
    <t>Consecration (3)</t>
  </si>
  <si>
    <t>Spirit of Severance</t>
  </si>
  <si>
    <t>Spirit of Contact</t>
  </si>
  <si>
    <t>Resolve except Cure x2 while Transcendent</t>
  </si>
  <si>
    <t>Glacial Quake</t>
  </si>
  <si>
    <t>Glacier</t>
  </si>
  <si>
    <t>Shiver Strike</t>
  </si>
  <si>
    <t>Diamond Lance (3)</t>
  </si>
  <si>
    <t>Spirit of Hoarfrost</t>
  </si>
  <si>
    <t>Spirit of Scars</t>
  </si>
  <si>
    <t>Elemental objects give matching Transcendence energy</t>
  </si>
  <si>
    <t>Electrified Snare</t>
  </si>
  <si>
    <t>Spirit of the Eternal Warrior</t>
  </si>
  <si>
    <t>Spirit of the Horn</t>
  </si>
  <si>
    <t>Bonus Dark Transcendence energy on ability kills while Light buffed</t>
  </si>
  <si>
    <t>Spirit of the Abeyant</t>
  </si>
  <si>
    <t>Spirit of Alpha Lupi</t>
  </si>
  <si>
    <t>Bonus Light Transcendence energy on kills on Dark-debuffed enemies</t>
  </si>
  <si>
    <t>Spirit of the Bear</t>
  </si>
  <si>
    <t>Spirit of the Armamentarium</t>
  </si>
  <si>
    <t>Domineering(?) except for freeze and suppress + shard on frozen kill</t>
  </si>
  <si>
    <t>Elemental multikills or super kills drop matching elemental pickups</t>
  </si>
  <si>
    <t>Isolation except increased duration(?) while Transcendent</t>
  </si>
  <si>
    <t>Warlock</t>
  </si>
  <si>
    <t>Song of Flame</t>
  </si>
  <si>
    <t>Healing</t>
  </si>
  <si>
    <t>Incinerator Snap</t>
  </si>
  <si>
    <t>Healing Rift</t>
  </si>
  <si>
    <t>Hellion (3)</t>
  </si>
  <si>
    <t>Nova Bomb: Cataclysm</t>
  </si>
  <si>
    <t>Pocket Singularity</t>
  </si>
  <si>
    <t>Empowering Rift</t>
  </si>
  <si>
    <t>Feed the Void (2)</t>
  </si>
  <si>
    <t>Mod</t>
  </si>
  <si>
    <t>Stormtrance</t>
  </si>
  <si>
    <t>Storm</t>
  </si>
  <si>
    <t>Chain Lightning</t>
  </si>
  <si>
    <t>Phoenix Dive</t>
  </si>
  <si>
    <t>Lightning Surge (3)</t>
  </si>
  <si>
    <t>Elemental Siphon</t>
  </si>
  <si>
    <t>Rapid kinetic or super-matched kills make elemental pickups</t>
  </si>
  <si>
    <t>Winter's Wrath</t>
  </si>
  <si>
    <t>Coldsnap</t>
  </si>
  <si>
    <t>Penumbral Blast</t>
  </si>
  <si>
    <t>Bleak Watcher (3)</t>
  </si>
  <si>
    <t>Spirit of the Stag</t>
  </si>
  <si>
    <t>Spirit of Vesper</t>
  </si>
  <si>
    <t>Void Hegemony</t>
  </si>
  <si>
    <t>Weakened kills give overshield if on Void or Prismatic</t>
  </si>
  <si>
    <t>Needlestorm</t>
  </si>
  <si>
    <t>Threadling</t>
  </si>
  <si>
    <t>Arcane Needle</t>
  </si>
  <si>
    <t>Weaver's Call (3)</t>
  </si>
  <si>
    <t>Spirit of the Filaments</t>
  </si>
  <si>
    <t>Spirit of Harmony</t>
  </si>
  <si>
    <t>Radiant Orbs</t>
  </si>
  <si>
    <t>Orb pickups give radiant if on Solar or Prismatic</t>
  </si>
  <si>
    <t>Freezing Singularity</t>
  </si>
  <si>
    <t>Spirit of the Necrotic</t>
  </si>
  <si>
    <t>Spirit of Starfire</t>
  </si>
  <si>
    <t>Galvanic Armor</t>
  </si>
  <si>
    <t>DR while amplified if on Arc or Prismatic</t>
  </si>
  <si>
    <t>Spirit of Osmiomancy</t>
  </si>
  <si>
    <t>Spirit of the Swarm</t>
  </si>
  <si>
    <t>Expanding Abyss</t>
  </si>
  <si>
    <t>Increased Void damage to weakened targets</t>
  </si>
  <si>
    <t>Spirit of Apotheosis</t>
  </si>
  <si>
    <t>Spirit of the Claw</t>
  </si>
  <si>
    <t>Shieldcrush</t>
  </si>
  <si>
    <t>Woven Mail, Frost Armor, Void Overshield: melee recharge/damage
Amplified, Radiant: grenade recharge/damage</t>
  </si>
  <si>
    <t>Transference</t>
  </si>
  <si>
    <t>Transcendent: grenade/melee damage, weapon kills refund Light/Dark energy after expiration</t>
  </si>
  <si>
    <r>
      <rPr>
        <rFont val="Arial"/>
        <b/>
        <color theme="1"/>
        <sz val="7.0"/>
      </rPr>
      <t>minor</t>
    </r>
    <r>
      <rPr>
        <rFont val="Arial"/>
        <b/>
        <color theme="1"/>
      </rPr>
      <t xml:space="preserve">
DPS1</t>
    </r>
  </si>
  <si>
    <r>
      <rPr>
        <rFont val="Arial"/>
        <b/>
        <color theme="1"/>
        <sz val="7.0"/>
      </rPr>
      <t>minor</t>
    </r>
    <r>
      <rPr>
        <rFont val="Arial"/>
        <b/>
        <color theme="1"/>
      </rPr>
      <t xml:space="preserve">
DPS2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</si>
  <si>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DPS1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</si>
  <si>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DPS2</t>
    </r>
  </si>
  <si>
    <r>
      <rPr>
        <rFont val="Arial"/>
        <b/>
        <color theme="1"/>
        <sz val="7.0"/>
      </rPr>
      <t>boss</t>
    </r>
    <r>
      <rPr>
        <rFont val="Arial"/>
        <b/>
        <color theme="1"/>
      </rPr>
      <t xml:space="preserve">
DPS1</t>
    </r>
  </si>
  <si>
    <r>
      <rPr>
        <rFont val="Arial"/>
        <b/>
        <color theme="1"/>
        <sz val="7.0"/>
      </rPr>
      <t>boss</t>
    </r>
    <r>
      <rPr>
        <rFont val="Arial"/>
        <b/>
        <color theme="1"/>
      </rPr>
      <t xml:space="preserve">
DPS2</t>
    </r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</si>
  <si>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</t>
    </r>
    <r>
      <rPr>
        <rFont val="Arial"/>
        <b/>
        <color rgb="FF181A1B"/>
      </rPr>
      <t>Damage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</si>
  <si>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</t>
    </r>
    <r>
      <rPr>
        <rFont val="Arial"/>
        <b/>
        <color rgb="FF181A1B"/>
      </rPr>
      <t>Damage</t>
    </r>
  </si>
  <si>
    <r>
      <rPr>
        <rFont val="Arial"/>
        <b/>
        <color theme="1"/>
        <sz val="7.0"/>
      </rPr>
      <t>change</t>
    </r>
    <r>
      <rPr>
        <rFont val="Arial"/>
        <b/>
        <color theme="1"/>
      </rPr>
      <t xml:space="preserve">
Damage</t>
    </r>
  </si>
  <si>
    <r>
      <rPr>
        <rFont val="Arial"/>
        <b/>
        <color rgb="FF181A1B"/>
        <sz val="7.0"/>
      </rPr>
      <t xml:space="preserve">time
</t>
    </r>
    <r>
      <rPr>
        <rFont val="Arial"/>
        <b/>
        <color rgb="FF181A1B"/>
      </rPr>
      <t>Cycle</t>
    </r>
  </si>
  <si>
    <r>
      <rPr>
        <rFont val="Arial"/>
        <b/>
        <color rgb="FF181A1B"/>
        <sz val="7.0"/>
      </rPr>
      <t xml:space="preserve">max
</t>
    </r>
    <r>
      <rPr>
        <rFont val="Arial"/>
        <b/>
        <color rgb="FF181A1B"/>
      </rPr>
      <t>Ammo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</si>
  <si>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</si>
  <si>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 xml:space="preserve">old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</si>
  <si>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 xml:space="preserve">new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</si>
  <si>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>change</t>
    </r>
    <r>
      <rPr>
        <rFont val="Arial"/>
        <b/>
        <color theme="1"/>
      </rPr>
      <t xml:space="preserve">
Total</t>
    </r>
  </si>
  <si>
    <t>Suggestion</t>
  </si>
  <si>
    <t>decrease base mag</t>
  </si>
  <si>
    <t>increase wave width</t>
  </si>
  <si>
    <t>untouched for now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</si>
  <si>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</si>
  <si>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</si>
  <si>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</si>
  <si>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</si>
  <si>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</si>
  <si>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</si>
  <si>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Caster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</si>
  <si>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</si>
  <si>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Vortex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</si>
  <si>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Wave
</t>
    </r>
    <r>
      <rPr>
        <rFont val="Arial"/>
        <i/>
        <color theme="1"/>
        <sz val="8.0"/>
      </rPr>
      <t>Pack Hunter</t>
    </r>
  </si>
  <si>
    <t>buff elite scalar</t>
  </si>
  <si>
    <t>buff reload
buff elite scalar</t>
  </si>
  <si>
    <t>reduce elite scalar</t>
  </si>
  <si>
    <t>decrease BR</t>
  </si>
  <si>
    <t>increase BR</t>
  </si>
  <si>
    <t>make BR more noticeable</t>
  </si>
  <si>
    <t>increase minor scalar</t>
  </si>
  <si>
    <t>TYPE</t>
  </si>
  <si>
    <t>REGRESSION</t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</si>
  <si>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DPS/M</t>
    </r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</si>
  <si>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RSQ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</si>
  <si>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DPS/M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</si>
  <si>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RSQ</t>
    </r>
  </si>
  <si>
    <r>
      <rPr>
        <rFont val="Arial"/>
        <b/>
        <color theme="1"/>
        <sz val="7.0"/>
      </rPr>
      <t>raw</t>
    </r>
    <r>
      <rPr>
        <rFont val="Arial"/>
        <b/>
        <color theme="1"/>
      </rPr>
      <t xml:space="preserve">
Diff</t>
    </r>
  </si>
  <si>
    <r>
      <rPr>
        <rFont val="Arial"/>
        <b/>
        <color theme="1"/>
        <sz val="7.0"/>
      </rPr>
      <t>rsq</t>
    </r>
    <r>
      <rPr>
        <rFont val="Arial"/>
        <b/>
        <color theme="1"/>
      </rPr>
      <t xml:space="preserve">
Diff</t>
    </r>
  </si>
  <si>
    <t>excludes precision HGLs</t>
  </si>
  <si>
    <t>excludes waves and area denials</t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</si>
  <si>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ADPS</t>
    </r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</si>
  <si>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STDEV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</si>
  <si>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ADPS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</si>
  <si>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STDEV</t>
    </r>
  </si>
  <si>
    <r>
      <rPr>
        <rFont val="Arial"/>
        <b/>
        <color theme="1"/>
        <sz val="7.0"/>
      </rPr>
      <t>%</t>
    </r>
    <r>
      <rPr>
        <rFont val="Arial"/>
        <b/>
        <color theme="1"/>
      </rPr>
      <t xml:space="preserve">
Diff</t>
    </r>
  </si>
  <si>
    <r>
      <rPr>
        <rFont val="Arial"/>
        <b/>
        <color theme="1"/>
        <sz val="7.0"/>
      </rPr>
      <t>stdev</t>
    </r>
    <r>
      <rPr>
        <rFont val="Arial"/>
        <b/>
        <color theme="1"/>
      </rPr>
      <t xml:space="preserve">
Diff</t>
    </r>
  </si>
  <si>
    <t>LFRs, traces, and rocket sidearms excluded due to low sample size</t>
  </si>
  <si>
    <t>Season</t>
  </si>
  <si>
    <t>⬆️</t>
  </si>
  <si>
    <t>Barrel</t>
  </si>
  <si>
    <t>Mag</t>
  </si>
  <si>
    <t>Perk 1</t>
  </si>
  <si>
    <t>Perk 2</t>
  </si>
  <si>
    <t>Origin Trait</t>
  </si>
  <si>
    <t>Rank</t>
  </si>
  <si>
    <t>Yes</t>
  </si>
  <si>
    <t>Full Bore</t>
  </si>
  <si>
    <t>Accurized Rounds</t>
  </si>
  <si>
    <t>Physic
Burning Ambition</t>
  </si>
  <si>
    <t>Chaos Reshaped
Attrition Orbs
Incandescent</t>
  </si>
  <si>
    <t>on-demand survivability on any class, Benevolence synergy</t>
  </si>
  <si>
    <t>DECATUR 02</t>
  </si>
  <si>
    <t>Physic
Attrition Orbs
Crystalline Corpsebloom</t>
  </si>
  <si>
    <t>Reciprocity
Master of Arms
Redirection</t>
  </si>
  <si>
    <t>Carrion Munitions</t>
  </si>
  <si>
    <t>Frost Armor not as good as Restoration, but good perk spread</t>
  </si>
  <si>
    <t>Physic
Reciprocity
Demolitionist</t>
  </si>
  <si>
    <t>Hatchling
Desperate Measures
Tear</t>
  </si>
  <si>
    <t>Heretical Behavior</t>
  </si>
  <si>
    <t>no self-healing if Physic taken, but basically Navigator at home</t>
  </si>
  <si>
    <t>Reckless Oracle</t>
  </si>
  <si>
    <t>Fluted Barrel
Arrowhead Brake</t>
  </si>
  <si>
    <t>Flared Magwell
Alloy Magazine</t>
  </si>
  <si>
    <r>
      <rPr>
        <rFont val="Arial"/>
        <color rgb="FF181A1B"/>
      </rPr>
      <t xml:space="preserve">Reckless Oracle
</t>
    </r>
    <r>
      <rPr>
        <rFont val="Arial"/>
        <i/>
        <color rgb="FF181A1B"/>
      </rPr>
      <t>Pantheon version</t>
    </r>
  </si>
  <si>
    <t>Destabilizing Rounds
Dimensional Shift
Collective Demolition</t>
  </si>
  <si>
    <t>Repulsor Brace
Chaos Reshaped
Withering Gaze</t>
  </si>
  <si>
    <t>Elliptical Orbit</t>
  </si>
  <si>
    <t>every relevant void perk and Chaos to boot, great all around</t>
  </si>
  <si>
    <t>Reciprocity
Repulsor Brace
Attrition Orbs</t>
  </si>
  <si>
    <t>Destabilizing Rounds
Master of Arms
Withering Gaze</t>
  </si>
  <si>
    <t>Frame of Reference</t>
  </si>
  <si>
    <t>Void Overshield to allies, great perk pool</t>
  </si>
  <si>
    <t>Gnawing Hunger</t>
  </si>
  <si>
    <t>Repulsor Brace
Demolitionist
Withering Gaze</t>
  </si>
  <si>
    <t>Destabilizing Rounds
Master of Arms</t>
  </si>
  <si>
    <t>best general combo, also has Withering access</t>
  </si>
  <si>
    <t>Positive Outlook</t>
  </si>
  <si>
    <t>Repulsor Brace
Withering Gaze</t>
  </si>
  <si>
    <t>Destabilizing Rounds
Mega Kill Clip</t>
  </si>
  <si>
    <t>Accelerated Assault</t>
  </si>
  <si>
    <t>classic void combo, Withering access, good origin</t>
  </si>
  <si>
    <t>Arctic Haze</t>
  </si>
  <si>
    <t>Incandescent
Heal Clip
Demolitionist</t>
  </si>
  <si>
    <t>Burning Ambition
Frenzy</t>
  </si>
  <si>
    <t>Winterized Gear</t>
  </si>
  <si>
    <t>solid double splash, just a disappointing origin</t>
  </si>
  <si>
    <t>The Ringing Nail</t>
  </si>
  <si>
    <t>Incandescent
Heal Clip
Impromptu Ammunition</t>
  </si>
  <si>
    <t>Burning Ambition
Firefly
Onslaught</t>
  </si>
  <si>
    <t>Forge's Kin</t>
  </si>
  <si>
    <t>great ignition auto, but mediocre frame and origin</t>
  </si>
  <si>
    <t>Light Heatsink
Overclocked Heatsink</t>
  </si>
  <si>
    <t>Heal Clip
Attrition Orbs</t>
  </si>
  <si>
    <t>Incandescent
Burning Ambition</t>
  </si>
  <si>
    <t>Imperial Allegiance</t>
  </si>
  <si>
    <t>similar to Ahab Char, has Incandescent/Attrition/blaster access though</t>
  </si>
  <si>
    <t>Destabilizing Rounds
Demoralize</t>
  </si>
  <si>
    <t>Repulsor Brace
Golden Tricorn
Attrition Orbs</t>
  </si>
  <si>
    <t>basically Reckless with a few extra perks and a different origin</t>
  </si>
  <si>
    <t>Heal Clip
Burning Ambition</t>
  </si>
  <si>
    <t>excellent origin and solid perks held back by frame</t>
  </si>
  <si>
    <t>solid origin and perks with better archetype than Abyss</t>
  </si>
  <si>
    <t>Repulsor Brace
Dimensional Shift
Demoralize</t>
  </si>
  <si>
    <t>Destabilizing Rounds
Desperate Measures</t>
  </si>
  <si>
    <t>great perk pairing and archetype, just no origin</t>
  </si>
  <si>
    <t>Scathelocke</t>
  </si>
  <si>
    <t>Attrition Orbs
Shoot to Loot</t>
  </si>
  <si>
    <t>Kinetic Tremors
Ancillary Ordinance</t>
  </si>
  <si>
    <t>Veteran's Wisdom</t>
  </si>
  <si>
    <t>great origin for use case, classic kinetic combo</t>
  </si>
  <si>
    <t>Attrition Orbs
Bewildering Burst</t>
  </si>
  <si>
    <t>Fleet Footed</t>
  </si>
  <si>
    <t>perks need playtime, but general package looks great</t>
  </si>
  <si>
    <t>VS Pyroelectric Propellant</t>
  </si>
  <si>
    <t>Attrition Orbs
Eddy Current
Strategist</t>
  </si>
  <si>
    <t>Jolting Feedback
Gear Shift</t>
  </si>
  <si>
    <t>one of the best Jolting users, great utility and origin</t>
  </si>
  <si>
    <t>Chroma Rush</t>
  </si>
  <si>
    <t>Bewildering Burst
Stopping Power</t>
  </si>
  <si>
    <t>Kinetic Tremors
Ancillary Ordinance
All-Star</t>
  </si>
  <si>
    <t>class kinetic combos, okay origin, good frame</t>
  </si>
  <si>
    <t>Snipehunt Mk. 47</t>
  </si>
  <si>
    <t>Chaos Reshaped
Voltshot
Attrition Orbs</t>
  </si>
  <si>
    <t>Featherweight</t>
  </si>
  <si>
    <t>worse origin than Pyroelectric, but has Chaos</t>
  </si>
  <si>
    <t>Age-Old Bond</t>
  </si>
  <si>
    <t>Repulsor Brace
Meganeura</t>
  </si>
  <si>
    <t>classic Void combo, just bad frame and mediocre origin</t>
  </si>
  <si>
    <t>Seventh Seraph Carbine</t>
  </si>
  <si>
    <t>Attrition Orbs
Stopping Power
Enlightened Action</t>
  </si>
  <si>
    <t>Eyes Up</t>
  </si>
  <si>
    <t>Everburning Glitz but worse frame</t>
  </si>
  <si>
    <t>Rewind Rounds
Shoot to Loot
Impromptu Ammunition</t>
  </si>
  <si>
    <t>Exhaustive Research</t>
  </si>
  <si>
    <t>would be excellent with Attrition Orbs but still great</t>
  </si>
  <si>
    <t>Pluperfect</t>
  </si>
  <si>
    <t>Stopping Power
Demolitionist
Rewind Rounds</t>
  </si>
  <si>
    <t>Kinetic Tremors
All-Star</t>
  </si>
  <si>
    <t>Fail-deadly</t>
  </si>
  <si>
    <t>worse archetype than Giver's Blessing but Stopping Power option</t>
  </si>
  <si>
    <t>Steelfeather Repeater</t>
  </si>
  <si>
    <t>Bewildering Burst
Proximity Power</t>
  </si>
  <si>
    <t>awful perks outside of kinetic combo, origin not great on weapon type</t>
  </si>
  <si>
    <t>Chrysura Melo</t>
  </si>
  <si>
    <t>Physic
Impulse Amplifier
Jolting Feedback</t>
  </si>
  <si>
    <t>Voltshot
Attrition Orbs
Rolling Storm</t>
  </si>
  <si>
    <t>Ignoble Deeds</t>
  </si>
  <si>
    <t>Amplified, sustain worst of all support autos, good add clear though</t>
  </si>
  <si>
    <r>
      <rPr>
        <rFont val="Arial"/>
        <color rgb="FF181A1B"/>
      </rPr>
      <t xml:space="preserve">Prosecutor
</t>
    </r>
    <r>
      <rPr>
        <rFont val="Arial"/>
        <i/>
        <color rgb="FF181A1B"/>
      </rPr>
      <t>RotN version</t>
    </r>
  </si>
  <si>
    <t>Dragonfly
Attrition Orbs
Eddy Current</t>
  </si>
  <si>
    <t>Voltshot
Rolling Storm</t>
  </si>
  <si>
    <t>double splash options vs. Pyroelectric, but worse frame</t>
  </si>
  <si>
    <t>Arc Logic</t>
  </si>
  <si>
    <t>Rolling Storm
Demolitionist</t>
  </si>
  <si>
    <t xml:space="preserve">Jolting Feedback
Gear Shift
Master of Arms
</t>
  </si>
  <si>
    <t>Loss</t>
  </si>
  <si>
    <t>decent double damage/splash option, good roam perks</t>
  </si>
  <si>
    <t>Trendsetter</t>
  </si>
  <si>
    <t>Trickle Charge
Light Touch
Ambitious Assassin</t>
  </si>
  <si>
    <t>Jolting Feedback
Rolling Storm</t>
  </si>
  <si>
    <t>Nail, Meet Hammer</t>
  </si>
  <si>
    <t>okay frame, no real utility perks, but has Jolting</t>
  </si>
  <si>
    <t>Origin Story</t>
  </si>
  <si>
    <t>Attrition Orbs
Demolitionist</t>
  </si>
  <si>
    <t>Kinetic Tremors
Onslaught</t>
  </si>
  <si>
    <t>Vanguard Determination</t>
  </si>
  <si>
    <t>solid perk combo but mediocre frame and bad origin</t>
  </si>
  <si>
    <t>Tigerspite</t>
  </si>
  <si>
    <t>Bewildering Burst
Stopping Power
Shoot to Loot</t>
  </si>
  <si>
    <t>Kinetic Tremors
All-Star
Onslaught</t>
  </si>
  <si>
    <t>no AO but decent utility in 1st instead</t>
  </si>
  <si>
    <t>Bewildering Burst
Stopping Power
Enlightened Action</t>
  </si>
  <si>
    <t>Rampage
Onslaught</t>
  </si>
  <si>
    <t>lower utility than AO+KT but post-buff Rampage isn't bad with Bewildering</t>
  </si>
  <si>
    <t>Breakneck</t>
  </si>
  <si>
    <t>Enlightened Action
Shoot to Loot
Pugilist</t>
  </si>
  <si>
    <t>Kinetic Tremors
Onslaught
Attrition Orbs</t>
  </si>
  <si>
    <t>solid reload perk + KT but no Attrition and mediocre origin + frame</t>
  </si>
  <si>
    <t>Braytech Werewolf</t>
  </si>
  <si>
    <t>Rewind Rounds
Pugilist</t>
  </si>
  <si>
    <t>Rewind + KT but bad origin and okay frame</t>
  </si>
  <si>
    <t>Attrition Orbs
Stats for All</t>
  </si>
  <si>
    <t>Voltshot
One for All</t>
  </si>
  <si>
    <t>Attrition + Voltshot pairing but nothing else special</t>
  </si>
  <si>
    <t>Headstone
Desperate Measures</t>
  </si>
  <si>
    <t>Attrition + Headstone + great origin + frame but sadly stasis</t>
  </si>
  <si>
    <t>Desperate Measures
One for All
Onslaught</t>
  </si>
  <si>
    <t>worse overall vs. Veiled despite offering splash + damage combo</t>
  </si>
  <si>
    <t>Dragonfly
Enlightened Action</t>
  </si>
  <si>
    <t>Voltshot
Rolling Storm
Gear Shift</t>
  </si>
  <si>
    <t>mediocre perk columns</t>
  </si>
  <si>
    <t>The Forward Path</t>
  </si>
  <si>
    <t>Slice
Demolitionist</t>
  </si>
  <si>
    <t>Tear
Hatchling</t>
  </si>
  <si>
    <t>good survivability auto, solid origin too</t>
  </si>
  <si>
    <t>Ammit AR2</t>
  </si>
  <si>
    <t>Stats for All
Turnabout</t>
  </si>
  <si>
    <t>Incandescent
One for All
Adaptive Munitions</t>
  </si>
  <si>
    <t>Incandescent vs. Destab on Positive Outlook</t>
  </si>
  <si>
    <t>Dragonfly
Hatchling
Slice</t>
  </si>
  <si>
    <t>Desperate Measures
Tear
Onslaught</t>
  </si>
  <si>
    <t>splash + damage option but relatively weak vs. B tier options</t>
  </si>
  <si>
    <t>Heal Clip
Proximity Power
Recycled Energy</t>
  </si>
  <si>
    <t>Burning Ambition
Binary Orbit
Kill Clip</t>
  </si>
  <si>
    <t>solid overall package, just missing solid splash perk in 2nd column</t>
  </si>
  <si>
    <t>Fair Judgment</t>
  </si>
  <si>
    <t>Rimestealer
Deconstruct</t>
  </si>
  <si>
    <t>classic Stasis combo but mediocre frame</t>
  </si>
  <si>
    <t>Lethal Abundance</t>
  </si>
  <si>
    <t>Slice
Tear
Enlightened Action</t>
  </si>
  <si>
    <t>Hatchling
Desperate Measures</t>
  </si>
  <si>
    <t>bad frame + good 1st column + okay 2nd column</t>
  </si>
  <si>
    <t>Slice
Rewind Rounds</t>
  </si>
  <si>
    <t>Chaos Reshaped
Hatchling</t>
  </si>
  <si>
    <t>good single target-focused auto, otherwise not very good</t>
  </si>
  <si>
    <t>Sorrow's Verse</t>
  </si>
  <si>
    <t>Rewind Rounds
Recycled Energy</t>
  </si>
  <si>
    <t>good reload support and origin but not very potent</t>
  </si>
  <si>
    <t>Krait</t>
  </si>
  <si>
    <t>No</t>
  </si>
  <si>
    <t>Stats for All
Auto-Loading Holster
Subsistence</t>
  </si>
  <si>
    <t>Headstone
One for All</t>
  </si>
  <si>
    <t>Veist Stinger</t>
  </si>
  <si>
    <t>decent Headstone auto, just missing utility perk</t>
  </si>
  <si>
    <t>Horror Story</t>
  </si>
  <si>
    <t>Enlightened Action
Demolitionist
Under-Over</t>
  </si>
  <si>
    <t>Headstone
Frenzy</t>
  </si>
  <si>
    <t>similar to Fair Judgment but not enhanceable</t>
  </si>
  <si>
    <t>Enlightened Action</t>
  </si>
  <si>
    <t>similar to Fair Judgment but worse frame</t>
  </si>
  <si>
    <t>Herod-C</t>
  </si>
  <si>
    <t>Shoot to Loot
Stats for All
Auto-Loading Holster</t>
  </si>
  <si>
    <t>Headstone
One for All
Frenzy</t>
  </si>
  <si>
    <t>similar to False Promises but not enhanceable and worse reload perk</t>
  </si>
  <si>
    <t>Dark Decider</t>
  </si>
  <si>
    <t>Auto-Loading Holster
Subsistence</t>
  </si>
  <si>
    <t>Voltshot
Dragonfly</t>
  </si>
  <si>
    <t>weird 1st column + Voltshot anti-synergy</t>
  </si>
  <si>
    <t>Come to Pass</t>
  </si>
  <si>
    <t>Trickle Charge
Shoot to Loot</t>
  </si>
  <si>
    <t>solid origin but bad frame and okay 2nd column</t>
  </si>
  <si>
    <t>Ros Arago IV</t>
  </si>
  <si>
    <t>Repulsor Brace
Rewind Rounds</t>
  </si>
  <si>
    <t>Onslaught
Attrition Orbs</t>
  </si>
  <si>
    <t>would be pretty good with Destabilizing access</t>
  </si>
  <si>
    <t>Coronach-22</t>
  </si>
  <si>
    <t>Suros Synergy</t>
  </si>
  <si>
    <t>worst Incandescent auto</t>
  </si>
  <si>
    <t>Old Sterling</t>
  </si>
  <si>
    <t>Frenzy
Hatchling</t>
  </si>
  <si>
    <t>Field-Tested</t>
  </si>
  <si>
    <t>similar to Rufus's Fury but worse archetype and no Demo in 1st column</t>
  </si>
  <si>
    <t>Sweet Sorrow</t>
  </si>
  <si>
    <t>Stats for All
Auto-Loading Holster</t>
  </si>
  <si>
    <t>Land Tank</t>
  </si>
  <si>
    <t>SFA + OFA combo on good frame and origin, no splash available</t>
  </si>
  <si>
    <t>The Last Breath</t>
  </si>
  <si>
    <t>Demolitionist
Subsistence</t>
  </si>
  <si>
    <t>Frenzy
One for All</t>
  </si>
  <si>
    <t>consistency-focused single target perks</t>
  </si>
  <si>
    <t>Perpetualis</t>
  </si>
  <si>
    <t>Hatchling
Golden Tricorn</t>
  </si>
  <si>
    <t>outdated reload perks + mediocre splash</t>
  </si>
  <si>
    <t>Lodbrok-C</t>
  </si>
  <si>
    <t>Kill Clip
Adrenaline Junkie</t>
  </si>
  <si>
    <t>bad frame + outdated perks</t>
  </si>
  <si>
    <t>Firefright</t>
  </si>
  <si>
    <t>Extrovert</t>
  </si>
  <si>
    <t>Surrounded on an auto</t>
  </si>
  <si>
    <t>The Number</t>
  </si>
  <si>
    <t>Field Prep
Surplus</t>
  </si>
  <si>
    <t>weird reload perks + OFA not great especially with no pairing</t>
  </si>
  <si>
    <t>Elastic String</t>
  </si>
  <si>
    <t>Compact Arrow Shaft</t>
  </si>
  <si>
    <t>Voltshot
Archer's Gambit</t>
  </si>
  <si>
    <t>Non-Denouement except with Wild Card</t>
  </si>
  <si>
    <t>Biting Winds</t>
  </si>
  <si>
    <t>Bewildering Burst
Impromptu Ammunition
Archer's Tempo</t>
  </si>
  <si>
    <t>Kinetic Tremors
Explosive Head</t>
  </si>
  <si>
    <t>somehow even better than Accrued</t>
  </si>
  <si>
    <t>The Spiteful Fang</t>
  </si>
  <si>
    <t>Headstone
Rimestealer</t>
  </si>
  <si>
    <t>Firefly
Crystalline Corpsebloom
Archer's Gambit</t>
  </si>
  <si>
    <t>the fire and ice combo but on a bow</t>
  </si>
  <si>
    <t>Dragonfly
Rolling Storm
Shoot to Loot</t>
  </si>
  <si>
    <t>Voltshot
Chaos Reshaped
Meganeura</t>
  </si>
  <si>
    <t>prime example of double splash over arrow uptime usefulness</t>
  </si>
  <si>
    <t>Attrition Orbs
Archer's Tempo</t>
  </si>
  <si>
    <t>Kinetic Tremors
Firefly
Archer's Gambit</t>
  </si>
  <si>
    <t>good orb generator, solid KT scaling too</t>
  </si>
  <si>
    <t>Dragonfly
Repulsor Brace
Impromptu Ammunition</t>
  </si>
  <si>
    <t>Destabilizing Rounds
Demoralize
Explosive Head</t>
  </si>
  <si>
    <t>double splash + utility options</t>
  </si>
  <si>
    <t>Repulsor Brace
Dragonfly
Archer's Tempo</t>
  </si>
  <si>
    <t>double splash + utility options, worse origin than Fortunate</t>
  </si>
  <si>
    <t>Burning Ambition
Firefly</t>
  </si>
  <si>
    <t>Incandescent
Meganeura
Archer's Gambit</t>
  </si>
  <si>
    <t>BiS double splash solar bow</t>
  </si>
  <si>
    <t>Incandescent
Firefly</t>
  </si>
  <si>
    <t>Burning Ambition
Explosive Head
Elemental Honing</t>
  </si>
  <si>
    <t>double splash where Burning Ambition actually has use</t>
  </si>
  <si>
    <t>Dragonfly
Meganeura
Burning Ambition</t>
  </si>
  <si>
    <t>Incandescent
Archer's Gambit</t>
  </si>
  <si>
    <t>great solar double splash, decent frame</t>
  </si>
  <si>
    <t>Convened Recurve</t>
  </si>
  <si>
    <t>Repulsor Brace
Dimensional Shift
Withering Gaze</t>
  </si>
  <si>
    <t>draw time too long for typical add clear purposes, usable though</t>
  </si>
  <si>
    <t>Explosive Head
Archer's Tempo
Shoot to Loot</t>
  </si>
  <si>
    <t>Meganeura
Jolting Feedback</t>
  </si>
  <si>
    <t>only Meganeura bow, okay first column, worse than Non-Denouement</t>
  </si>
  <si>
    <t>Explosive Head
Archer's Tempo
Slice</t>
  </si>
  <si>
    <t>Meganeura
Hatchling
Archer's Gambit</t>
  </si>
  <si>
    <t>middling double splash</t>
  </si>
  <si>
    <t>Attrition Orbs
Successful Warm-Up</t>
  </si>
  <si>
    <t>Tenacity</t>
  </si>
  <si>
    <t>excessive draw time but still unique roll</t>
  </si>
  <si>
    <t>Strident Whistle</t>
  </si>
  <si>
    <t>Archer's Tempo
Shoot to Loot</t>
  </si>
  <si>
    <t>Incandescent
Explosive Head
Dragonfly</t>
  </si>
  <si>
    <t>Archer's + Incandescent core</t>
  </si>
  <si>
    <t>Tear
Slice
Lead from Light</t>
  </si>
  <si>
    <t>Hatchling
Archer's Gambit
Explosive Head</t>
  </si>
  <si>
    <t>Tear interesting on a bow, otherwise held back by Strand limitations</t>
  </si>
  <si>
    <t>Tripwire Canary</t>
  </si>
  <si>
    <t>Dragonfly
Archer's Tempo</t>
  </si>
  <si>
    <t>technically double splash but a weaker version</t>
  </si>
  <si>
    <t>Arsenic Bite-4B</t>
  </si>
  <si>
    <t>Under Your Skin</t>
  </si>
  <si>
    <t>Explosive Head
Dragonfly</t>
  </si>
  <si>
    <t>classic Archer's + Explosive/weaker splash</t>
  </si>
  <si>
    <t>Headstone
Explosive Head</t>
  </si>
  <si>
    <t>Wolftone Draw</t>
  </si>
  <si>
    <t>Dragonfly
Frenzy</t>
  </si>
  <si>
    <t>Fel Taradiddle</t>
  </si>
  <si>
    <t>Imperial Needle</t>
  </si>
  <si>
    <t>Archer's + weak damage perk</t>
  </si>
  <si>
    <t>Lunulata-4B</t>
  </si>
  <si>
    <t>no Archer's + weaker splash perk</t>
  </si>
  <si>
    <t>Lethophobia</t>
  </si>
  <si>
    <t>Repulsor Brace
Impulse Amplifier</t>
  </si>
  <si>
    <t>similar to Biting Winds but worse frame</t>
  </si>
  <si>
    <t>Archer's Tempo
Demolitionist
Pugilist</t>
  </si>
  <si>
    <t>High Ground
Swashbuckler
Vorpal Weapon</t>
  </si>
  <si>
    <t>single target perks on a bow</t>
  </si>
  <si>
    <t>Whistler's Whim</t>
  </si>
  <si>
    <t>Rapid Hit
Cornered</t>
  </si>
  <si>
    <t>Archer's Tempo
Kill Clip</t>
  </si>
  <si>
    <t>Neoptolemus II</t>
  </si>
  <si>
    <t>no draw perks and only single target damage perks</t>
  </si>
  <si>
    <t>Fluted Barrel</t>
  </si>
  <si>
    <t>great frame, excellent perks, amazing origin</t>
  </si>
  <si>
    <t>IRONWOOD 03</t>
  </si>
  <si>
    <t>Barrel Shroud</t>
  </si>
  <si>
    <t>Repulsor Brace
Dimensional Shift
Demolitionist</t>
  </si>
  <si>
    <t>Destabilizing Rounds
Surrounded
Master of Arms</t>
  </si>
  <si>
    <t>great void combo and other alternative perks on great frame</t>
  </si>
  <si>
    <t>Frenzy
Redirection
Explosive Payload</t>
  </si>
  <si>
    <t>great frame, splash + damage, solid origin</t>
  </si>
  <si>
    <t>Firefly
Rimestealer
Rapid Hit</t>
  </si>
  <si>
    <t>Headstone
Crystalline Corpsebloom</t>
  </si>
  <si>
    <t>better version of Solemn Remembrance with Crystalline access</t>
  </si>
  <si>
    <t>Kindled Orchid</t>
  </si>
  <si>
    <t>Repulsor Brace
Shoot to Loot</t>
  </si>
  <si>
    <t>Destabilizing Rounds
Demoralize
Explosive Payload</t>
  </si>
  <si>
    <t>classic void combo, StL + EP, and decent frame</t>
  </si>
  <si>
    <t>Zaouli's Bane</t>
  </si>
  <si>
    <r>
      <rPr>
        <rFont val="Arial"/>
        <color rgb="FF181A1B"/>
      </rPr>
      <t xml:space="preserve">Zaouli's Bane
</t>
    </r>
    <r>
      <rPr>
        <rFont val="Arial"/>
        <i/>
        <color rgb="FF181A1B"/>
      </rPr>
      <t>Pantheon version</t>
    </r>
  </si>
  <si>
    <t>Firefly
Burning Ambition
Explosive Payload</t>
  </si>
  <si>
    <t>Chaos Reshaped
Meganeura
Incandescent</t>
  </si>
  <si>
    <t>slow reload animation but very lethal perk combos</t>
  </si>
  <si>
    <t>Repulsor Brace
Demoralize</t>
  </si>
  <si>
    <t>classic void combo, also has Withering access</t>
  </si>
  <si>
    <t>BiS LP damage option, decent for neutral too</t>
  </si>
  <si>
    <t>Eyasluna</t>
  </si>
  <si>
    <t>Firefly
Meganeura</t>
  </si>
  <si>
    <t>Crystalline Corpsebloom
Headstone
Chaos Reshaped</t>
  </si>
  <si>
    <t>Unburied Treasure</t>
  </si>
  <si>
    <t>best non-spread double splash stasis HC</t>
  </si>
  <si>
    <t>Sightline Survey</t>
  </si>
  <si>
    <t>doesn't scale as well as Posterity into upper-tier content</t>
  </si>
  <si>
    <t>Flared Magwell
Alloy Magazine
Appended Mag</t>
  </si>
  <si>
    <t>Heal Clip
Rewind Rounds</t>
  </si>
  <si>
    <t>Incandescent
Firefly
Precision Instrument</t>
  </si>
  <si>
    <t>best energy slot heavy burst LP option, good neutral perks too</t>
  </si>
  <si>
    <t>Flared Magwell
Alloy Magazine
Tactical Mag</t>
  </si>
  <si>
    <t>Firefly
Slice
Shoot to Loot</t>
  </si>
  <si>
    <t>Tear
Explosive Payload
Elemental Honing</t>
  </si>
  <si>
    <t>Vulpecula replacement, cool double splash combo too, okay archetype</t>
  </si>
  <si>
    <t>D.F.A.</t>
  </si>
  <si>
    <t>Explosive Payload
Adhesive Ordnance</t>
  </si>
  <si>
    <t>Attrition Orbs
Frenzy</t>
  </si>
  <si>
    <t>fastest HC orb generator due to EP + AO combo</t>
  </si>
  <si>
    <t>Service Revolver</t>
  </si>
  <si>
    <t>Stopping Power
Shoot to Loot</t>
  </si>
  <si>
    <t>Mega Kill Clip
Kinetic Tremors
Explosive Payload</t>
  </si>
  <si>
    <t>probably best StL + EP kinetic hand cannon</t>
  </si>
  <si>
    <t>Dragonfly
Hatchling
Rapid Hit</t>
  </si>
  <si>
    <t>Elemental Honing
Frenzy
Tear</t>
  </si>
  <si>
    <t>amazing origin, splash + damage option as well</t>
  </si>
  <si>
    <t>Firefly
Bewildering Burst
Explosive Payload</t>
  </si>
  <si>
    <t>Kinetic Tremors
Ancillary Ordinance
One for All</t>
  </si>
  <si>
    <t>Indomitability</t>
  </si>
  <si>
    <t>only kinetic HC with new combo, otherwise decent too</t>
  </si>
  <si>
    <t>Firefly
Rimestealer</t>
  </si>
  <si>
    <t>only held back slightly by archetype and lack of origin</t>
  </si>
  <si>
    <t>Ancient Gospel</t>
  </si>
  <si>
    <t>Destabilizing Rounds
Repulsor Brace</t>
  </si>
  <si>
    <t>Explosive Payload
Demoralize</t>
  </si>
  <si>
    <t>interesting pairing with Destabilizing</t>
  </si>
  <si>
    <t>Triple Laureate</t>
  </si>
  <si>
    <t>Crystalline Corpsebloom
Grave Robber</t>
  </si>
  <si>
    <t>Chaos Reshaped
One-Two Punch</t>
  </si>
  <si>
    <t>Chaos Reshaped interesting pairing with Crystalline</t>
  </si>
  <si>
    <t>Lead From Light
Eddy Current
Trickle Charge</t>
  </si>
  <si>
    <t xml:space="preserve">Trench Barrel
One-Two Punch
Rolling Storm
</t>
  </si>
  <si>
    <t>lacks universal reload perks, overall just okay</t>
  </si>
  <si>
    <t>Threat Remover
Threat Detector
Slideshot</t>
  </si>
  <si>
    <t>Incandescent
One-Two Punch
Surrounded</t>
  </si>
  <si>
    <t>solid damage profile at close ranges, good show of archetype potential</t>
  </si>
  <si>
    <t>Luna's Howl</t>
  </si>
  <si>
    <t>Firefly
Heal Clip</t>
  </si>
  <si>
    <t>Incandescent
Chaos Reshaped</t>
  </si>
  <si>
    <t>double splash, Heal Clip available with Chaos alternative</t>
  </si>
  <si>
    <t>Epochal Integration</t>
  </si>
  <si>
    <t>Heal Clip
Explosive Payload</t>
  </si>
  <si>
    <t>Incandescent
Meganeura
Chaos Reshaped</t>
  </si>
  <si>
    <t>very similar to Luna's Howl</t>
  </si>
  <si>
    <t>Trust</t>
  </si>
  <si>
    <t>Incandescent
Dragonfly
Explosive Payload</t>
  </si>
  <si>
    <t>Firefly + decent splash options, good frame</t>
  </si>
  <si>
    <t>Vulpecula</t>
  </si>
  <si>
    <t>Headstone
Rimestealer
Shoot to Loot</t>
  </si>
  <si>
    <t>Crystalline Corpsebloom
Explosive Payload</t>
  </si>
  <si>
    <t>classic stasis combo with StL + EP access, better frame than Loud Lullaby</t>
  </si>
  <si>
    <t>Nation of Beasts</t>
  </si>
  <si>
    <t>Gear Shift
Dragonfly
Eddy Current</t>
  </si>
  <si>
    <t>Voltshot
Jolting Feedback
Explosive Payload</t>
  </si>
  <si>
    <t>great damage perk to have in 3rd column, otherwise decent too</t>
  </si>
  <si>
    <t>Explosive Payload
Kinetic Tremors
Stopping Power</t>
  </si>
  <si>
    <t>Firefly
One for All
All-Star</t>
  </si>
  <si>
    <t>classic EP + Frenzy/Firefly combo, still pretty decent</t>
  </si>
  <si>
    <t>Repulsor Brace
Enlightened Action</t>
  </si>
  <si>
    <t>Destabilizing Rounds
Dragonfly</t>
  </si>
  <si>
    <t>held back by awful reload with Void combo</t>
  </si>
  <si>
    <t>Seventh Seraph Officer Revolver</t>
  </si>
  <si>
    <t>Bewildering Burst
Shoot to Loot</t>
  </si>
  <si>
    <t>Redirection
Explosive Payload</t>
  </si>
  <si>
    <t>very good StL + EP kinetic option, not much else though</t>
  </si>
  <si>
    <t>Dragonfly
Rapid Hit</t>
  </si>
  <si>
    <t>Voltshot
Vorpal Weapon</t>
  </si>
  <si>
    <t>double splash on awkward archetype, also doubles as LP backup</t>
  </si>
  <si>
    <t>Loud Lullaby</t>
  </si>
  <si>
    <t>bad origin and frame, but good stasis combo and StL + EP</t>
  </si>
  <si>
    <t>Bold Endings</t>
  </si>
  <si>
    <t>Crystalline Corpsebloom
Dragonfly</t>
  </si>
  <si>
    <t>like Solemn Remembrance but lower QoL archetype and Dragonfly worse</t>
  </si>
  <si>
    <t>Demolitionist
Enlightened Action</t>
  </si>
  <si>
    <t>Vorpal Weapon
Frenzy</t>
  </si>
  <si>
    <t>Problem Solver</t>
  </si>
  <si>
    <t>basically only useful for LP usage, and third best at that</t>
  </si>
  <si>
    <t>Malediction</t>
  </si>
  <si>
    <t>Shoot to Loot
Enlightened Action</t>
  </si>
  <si>
    <t>Explosive Payload
All-Star</t>
  </si>
  <si>
    <t>StL + EP and nothing else really</t>
  </si>
  <si>
    <t>Incandescent
Precision Instrument</t>
  </si>
  <si>
    <t>similar to Crimil's but Incandescent for worse origin</t>
  </si>
  <si>
    <t>Spare Rations</t>
  </si>
  <si>
    <t>Firefly
Crystalline Corpsebloom</t>
  </si>
  <si>
    <t>Explosive Payload
Desperate Measures</t>
  </si>
  <si>
    <t>if only Crystalline was in 2nd column, otherwise just Fatebringer roll</t>
  </si>
  <si>
    <t>decent neutral combo but no origin and nothing unique</t>
  </si>
  <si>
    <t>decent double splash but bad frame with no reload assist</t>
  </si>
  <si>
    <t>Crimil's Dagger</t>
  </si>
  <si>
    <t>Explosive Payload
Precision Instrument</t>
  </si>
  <si>
    <t>old Fatebringer roll but it's a 120</t>
  </si>
  <si>
    <t>Better Devils</t>
  </si>
  <si>
    <t>Slice
Reconstruction</t>
  </si>
  <si>
    <t>Explosive Payload
Hatchling</t>
  </si>
  <si>
    <t>pretty mediocre perks in both columns</t>
  </si>
  <si>
    <t>Exuviae</t>
  </si>
  <si>
    <t>Stats for All
Rimestealer</t>
  </si>
  <si>
    <t>Headstone
Explosive Payload</t>
  </si>
  <si>
    <t>Headstone + origin carries despite bad archetype and mid 1st column</t>
  </si>
  <si>
    <t>Something New</t>
  </si>
  <si>
    <t>like Exuviae but none of the cool stuff</t>
  </si>
  <si>
    <t>Waking Vigil</t>
  </si>
  <si>
    <t>Light Touch</t>
  </si>
  <si>
    <t>Meganeura
Voltshot</t>
  </si>
  <si>
    <t>decent archetype with mediocre 1st column and decent 2nd</t>
  </si>
  <si>
    <t>Round Robin</t>
  </si>
  <si>
    <t>Tear + Hatchling not bad, good origin, bad frame</t>
  </si>
  <si>
    <t>Sixth Sense</t>
  </si>
  <si>
    <t>Meganeura
Hatchling
Tear</t>
  </si>
  <si>
    <t>EP + decent splash perks, bad frame, bad perk diversity in 1st column</t>
  </si>
  <si>
    <t>Explosive Payload
Collective Demolition</t>
  </si>
  <si>
    <t>Rolling Storm
Master of Arms
Voltshot</t>
  </si>
  <si>
    <t>no good splash perks on okay archetype</t>
  </si>
  <si>
    <r>
      <rPr>
        <rFont val="Arial"/>
        <color rgb="FF181A1B"/>
      </rPr>
      <t xml:space="preserve">Judgment
</t>
    </r>
    <r>
      <rPr>
        <rFont val="Arial"/>
        <i/>
        <color rgb="FF181A1B"/>
      </rPr>
      <t>RotN version</t>
    </r>
  </si>
  <si>
    <t>Fastdraw HCS</t>
  </si>
  <si>
    <t>Headstone
Demolitionist
Rapid Hit</t>
  </si>
  <si>
    <t>Timed Payload
Rimestealer</t>
  </si>
  <si>
    <t>EP + Headstone on okay archetype</t>
  </si>
  <si>
    <t>Rimestealer
Timed Payload</t>
  </si>
  <si>
    <t>slightly worse perks and origin than RotN version</t>
  </si>
  <si>
    <t>Heal Clip
Enlightened Action</t>
  </si>
  <si>
    <t>Burning Ambition
Precision Instrument</t>
  </si>
  <si>
    <t>bad HC damage perk</t>
  </si>
  <si>
    <t>Solemn Lie</t>
  </si>
  <si>
    <t>Trickle Charge</t>
  </si>
  <si>
    <t>okay frame but very limited perks and no origin</t>
  </si>
  <si>
    <t>Targeted Redaction</t>
  </si>
  <si>
    <t>Destabilizing Rounds
Explosive Payload</t>
  </si>
  <si>
    <t>Destabilizing access but mediocre reload perk and bad archetype</t>
  </si>
  <si>
    <t>True Prophecy</t>
  </si>
  <si>
    <t>Light Touch
Trickle Charge</t>
  </si>
  <si>
    <t>Explosive Payload
Jolting Feedback
Dragonfly</t>
  </si>
  <si>
    <t>mediocre 1st column, bad frame, only EP for HC perks</t>
  </si>
  <si>
    <t>Combined Action</t>
  </si>
  <si>
    <t>good reload perk but Voltshot on awful reload archetype</t>
  </si>
  <si>
    <t>Survivor's Epitaph</t>
  </si>
  <si>
    <t>Rapid Hit</t>
  </si>
  <si>
    <t>reload perk + EP and PI</t>
  </si>
  <si>
    <t>Cantata-57</t>
  </si>
  <si>
    <t>reload perk + EP/TP</t>
  </si>
  <si>
    <t>Optative</t>
  </si>
  <si>
    <t>Repulsor Brace
Demolitionist
Attrition Orbs</t>
  </si>
  <si>
    <t>Golden Tricorn
Wellspring</t>
  </si>
  <si>
    <t>Nano-Munitions</t>
  </si>
  <si>
    <t>good origin and unique perks but not very impactful</t>
  </si>
  <si>
    <t>IKELOS_HC_V1.0.3</t>
  </si>
  <si>
    <t>Repulsor Brace
Golden Tricorn
Frenzy</t>
  </si>
  <si>
    <t>uptime-focused single target perks, not great</t>
  </si>
  <si>
    <t>Bottom Dollar</t>
  </si>
  <si>
    <t>Dragonfly
Explosive Payload</t>
  </si>
  <si>
    <t>reload perk + splash/EP/TP</t>
  </si>
  <si>
    <t>Annual Skate</t>
  </si>
  <si>
    <t>Dragonfly
Timed Payload</t>
  </si>
  <si>
    <t>Frontier's Cry</t>
  </si>
  <si>
    <t>Rapid Hit
Stats for All</t>
  </si>
  <si>
    <t>One for All
Kill Clip</t>
  </si>
  <si>
    <t>reload perk + dated damage perks</t>
  </si>
  <si>
    <t>Austringer</t>
  </si>
  <si>
    <t>Compulsive Reloader
Outlaw</t>
  </si>
  <si>
    <t>reload perk + Frenzy</t>
  </si>
  <si>
    <t>Nature of the Beast</t>
  </si>
  <si>
    <t>bad reload perk + weak splash</t>
  </si>
  <si>
    <t>Crisis Inverted</t>
  </si>
  <si>
    <t>Demolitionist
Shoot to Loot
Rapid Hit</t>
  </si>
  <si>
    <t>Pure Poetry</t>
  </si>
  <si>
    <t>basically just Frenzy on bad archetype</t>
  </si>
  <si>
    <t>Dire Promise</t>
  </si>
  <si>
    <t>niche damage perk</t>
  </si>
  <si>
    <t>The Steady Hand</t>
  </si>
  <si>
    <t>Kept Confidence</t>
  </si>
  <si>
    <t>nothing redeeming</t>
  </si>
  <si>
    <t>Claws of the Wolf</t>
  </si>
  <si>
    <t>similar to Gridskipper with better origin</t>
  </si>
  <si>
    <t>Repulsor Brace
Dragonfly
Shoot to Loot</t>
  </si>
  <si>
    <t>Destabilizing Rounds
Demoralize
Withering Gaze</t>
  </si>
  <si>
    <t>good origin, great void perk diversity, Withering Gaze access</t>
  </si>
  <si>
    <t>great Void combo + solid origin for this primary type</t>
  </si>
  <si>
    <t>Firefly
Repulsor Brace</t>
  </si>
  <si>
    <t>Gridskipper with worse origin/archetype and Firefly option</t>
  </si>
  <si>
    <t>Firefly
Heal Clip
Burning Ambition</t>
  </si>
  <si>
    <t>Incandescent
Chaos Reshaped
Meganeura</t>
  </si>
  <si>
    <t>great frame, double splash, diverse perks, just mid origin</t>
  </si>
  <si>
    <t>Veles-X</t>
  </si>
  <si>
    <t>Destabilizing Rounds
Withering Gaze
Firefly</t>
  </si>
  <si>
    <t>classic void pairing with Withering access, okay origin and frame</t>
  </si>
  <si>
    <t>Destabilizing Rounds
Repulsor Brace
Loose Change</t>
  </si>
  <si>
    <t>Meganeura
Demoralize
Frenzy</t>
  </si>
  <si>
    <t>shame about Destab in 1st column but good double splash</t>
  </si>
  <si>
    <t>Kinetic Tremors
Bewildering Burst
Ancillary Ordinance</t>
  </si>
  <si>
    <t>Chaos Reshaped
Firefly</t>
  </si>
  <si>
    <t>decent frame, great double kinetic splash options, okay origin</t>
  </si>
  <si>
    <t>Oversoul Edict</t>
  </si>
  <si>
    <t>Rolling Storm
Eddy Current</t>
  </si>
  <si>
    <t>Voltshot
Jolting Feedback
Gear Shift</t>
  </si>
  <si>
    <t>excellent origin + best frame for Voltshot usage</t>
  </si>
  <si>
    <t>Trickle Charge
Supercharged Magazine</t>
  </si>
  <si>
    <t>fast Jolting activations, unknown reload perk quality</t>
  </si>
  <si>
    <t>Vantage Point</t>
  </si>
  <si>
    <t>underrated combo of Jolting + great origin</t>
  </si>
  <si>
    <t>Firefly
Slice</t>
  </si>
  <si>
    <t>like Relentless but new frame and enhancements</t>
  </si>
  <si>
    <t>Infinite Paths 8</t>
  </si>
  <si>
    <t>Dragonfly
Demolitionist</t>
  </si>
  <si>
    <t>weaker arc double splash, good origin though</t>
  </si>
  <si>
    <t>Eddy Current
Enlightened Action</t>
  </si>
  <si>
    <t>similar to Oversoul Edict with some small tweaks</t>
  </si>
  <si>
    <t>Premonition</t>
  </si>
  <si>
    <t>Repulsor Brace
Firefly
Demoralize</t>
  </si>
  <si>
    <t>Destabilizing Rounds
Meganeura
Withering Gaze</t>
  </si>
  <si>
    <t>basically every good void perk, also gets Withering access, just bad frame</t>
  </si>
  <si>
    <t>Elsie's Rifle</t>
  </si>
  <si>
    <t>Repulsor Brace
Dimensional Shift
Collective Demolition</t>
  </si>
  <si>
    <t>Destabilizing Rounds
Demoralize
Frenzy</t>
  </si>
  <si>
    <t>solid Void combo + decent origin but bad frame</t>
  </si>
  <si>
    <t>The Time-Worn Spire</t>
  </si>
  <si>
    <t>Crystalline Corpsebloom
Headstone
Elemental Honing</t>
  </si>
  <si>
    <t>probably as good as a stasis pulse gets</t>
  </si>
  <si>
    <t>Jurassic Green</t>
  </si>
  <si>
    <t>Heal Clip
Loose Change</t>
  </si>
  <si>
    <t>classic Heal Clip + Incandescent combo on solid frame</t>
  </si>
  <si>
    <t>Adhortative</t>
  </si>
  <si>
    <t>Heal Clip
Attrition Orbs
Shoot to Loot</t>
  </si>
  <si>
    <t>worse frame than Jurassic but better origin</t>
  </si>
  <si>
    <t>worse origin than Jurassic but similar otherwise</t>
  </si>
  <si>
    <t>Firefly
Crystalline Corpsebloom
Rimestealer</t>
  </si>
  <si>
    <t>better perk combo and origin than Hailing, just no origin</t>
  </si>
  <si>
    <t>Hailing Confusion</t>
  </si>
  <si>
    <t>Crystalline Corpsebloom
Meganeura</t>
  </si>
  <si>
    <t>double stasis splash combo, bad origin and okay frame</t>
  </si>
  <si>
    <r>
      <rPr>
        <rFont val="Arial"/>
        <color rgb="FF181A1B"/>
      </rPr>
      <t xml:space="preserve">Chattering Bone
</t>
    </r>
    <r>
      <rPr>
        <rFont val="Arial"/>
        <i/>
        <color rgb="FF181A1B"/>
      </rPr>
      <t>Pantheon version</t>
    </r>
  </si>
  <si>
    <t>Attrition Orbs
Bewildering Burst
Kill Clip</t>
  </si>
  <si>
    <t xml:space="preserve">Kinetic Tremors
Ancillary Ordinance
Chaos Reshaped
</t>
  </si>
  <si>
    <t>AO + KT, good kinetic perks, awkward Chaos pairing, good frame</t>
  </si>
  <si>
    <t>Firefly
Bewildering Burst
Stopping Power</t>
  </si>
  <si>
    <t>everything great except no AO and bad frame</t>
  </si>
  <si>
    <t>Insidious</t>
  </si>
  <si>
    <t>Rolling Storm
Dragonfly</t>
  </si>
  <si>
    <t>Voltshot
Chaos Reshaped</t>
  </si>
  <si>
    <t>Souldrinker</t>
  </si>
  <si>
    <t>weaker double splash, decent frame, decent origin</t>
  </si>
  <si>
    <t>Phyllotactic Spiral</t>
  </si>
  <si>
    <t>no double splash, bad frame, otherwise good</t>
  </si>
  <si>
    <t>Dragonfly
Eddy Current
Demolitionist</t>
  </si>
  <si>
    <t>Rolling Storm
Frenzy</t>
  </si>
  <si>
    <t>technically double splash on good frame but Rolling Storm is weak</t>
  </si>
  <si>
    <t>Heal Clip
Rapid Hit
Impromptu Ammunition</t>
  </si>
  <si>
    <t>great perks and origin, just bad frame</t>
  </si>
  <si>
    <t>Battle Scar</t>
  </si>
  <si>
    <t>Attrition Orbs
Shoot to Loot
Enlightened Action</t>
  </si>
  <si>
    <t>AO + KT, also has StL, solid origin and archetype</t>
  </si>
  <si>
    <t>Bygones</t>
  </si>
  <si>
    <t>Attrition Orbs
Shoot to Loot
Stopping Power</t>
  </si>
  <si>
    <t>Kinetic Tremors
Firefly</t>
  </si>
  <si>
    <t>Attrition + KT combo, mid origin</t>
  </si>
  <si>
    <t>Bewildering Burst
Ancillary Ordinance</t>
  </si>
  <si>
    <t>no AO or KT, otherwise okay</t>
  </si>
  <si>
    <t>Belisarius-D</t>
  </si>
  <si>
    <t>Dragonfly
Tear
Slice</t>
  </si>
  <si>
    <t>Hatchling
Firefly</t>
  </si>
  <si>
    <t>decent strand double splash, better archetype than Relentless</t>
  </si>
  <si>
    <t>Sacred Provenance</t>
  </si>
  <si>
    <t>Stopping Power
Rapid Hit</t>
  </si>
  <si>
    <t>decent frame with good reload + enhanced KT</t>
  </si>
  <si>
    <t>Demolitionist
Auto-Loading Holster
Pugilist</t>
  </si>
  <si>
    <t>Incandescent
Blunt Execution Rounds</t>
  </si>
  <si>
    <t>solid loader perks + Incandescent</t>
  </si>
  <si>
    <r>
      <rPr>
        <rFont val="Arial"/>
        <color rgb="FF181A1B"/>
      </rPr>
      <t xml:space="preserve">Relentless
</t>
    </r>
    <r>
      <rPr>
        <rFont val="Arial"/>
        <i/>
        <color rgb="FF181A1B"/>
      </rPr>
      <t>RotN version</t>
    </r>
  </si>
  <si>
    <t>Firefly
Rapid Hit
Slice</t>
  </si>
  <si>
    <t>Hatchling
Elemental Honing</t>
  </si>
  <si>
    <t>double splash with weaker Strand options, still decent</t>
  </si>
  <si>
    <t xml:space="preserve">Firefly
Tear
Slice
</t>
  </si>
  <si>
    <t>essentially identical to RotN version</t>
  </si>
  <si>
    <t>Jorum's Claw</t>
  </si>
  <si>
    <t>okay reload perk + Incandescent on decent frame</t>
  </si>
  <si>
    <t>Stay Frosty</t>
  </si>
  <si>
    <t>Rimestealer
Enlightened Action</t>
  </si>
  <si>
    <t>classic Stasis combo with decent origin</t>
  </si>
  <si>
    <t>New Purpose</t>
  </si>
  <si>
    <t>Meganeura
Rimestealer</t>
  </si>
  <si>
    <t>decent double splash but bad frame and just okay origin</t>
  </si>
  <si>
    <t>Disparity</t>
  </si>
  <si>
    <t>Häkke nice pairing with Headstone, no utility perk in 1st column</t>
  </si>
  <si>
    <t>Psi Hermetic V</t>
  </si>
  <si>
    <t>Headstone
Golden Tricorn</t>
  </si>
  <si>
    <t>good origin and Headstone on bad frame</t>
  </si>
  <si>
    <t>Nightshade</t>
  </si>
  <si>
    <t>Slice
Lead from Light</t>
  </si>
  <si>
    <t>similar to Last Thursday, decent origin</t>
  </si>
  <si>
    <t>Demolitionist
Rapid Hit
Strategist</t>
  </si>
  <si>
    <t>Dragonfly
Hatchling
Elemental Honing</t>
  </si>
  <si>
    <t>okay 1st column but nothing remarkable in 2nd column</t>
  </si>
  <si>
    <t>Aisha's Care</t>
  </si>
  <si>
    <t>great archetype but Hatchling quite weak</t>
  </si>
  <si>
    <t>Syncopation-53</t>
  </si>
  <si>
    <t>Outlaw
Compulsive Reloader</t>
  </si>
  <si>
    <t>Headstone with everything else mediocre</t>
  </si>
  <si>
    <t>Different Times</t>
  </si>
  <si>
    <t>Hatchling generally worse than Headstone above</t>
  </si>
  <si>
    <t>Ogma PR6</t>
  </si>
  <si>
    <t>only Dragonfly and okay loader perk</t>
  </si>
  <si>
    <t>Outlast</t>
  </si>
  <si>
    <t>Stats for All
Outlaw</t>
  </si>
  <si>
    <t>only Dragonfly and mediocre loader perks</t>
  </si>
  <si>
    <t>Yesteryear</t>
  </si>
  <si>
    <t>Dragonfly
Repulsor Brace</t>
  </si>
  <si>
    <t>basically Outlast with worse archetype</t>
  </si>
  <si>
    <t>Autumn Wind</t>
  </si>
  <si>
    <t>Rampage
Elemental Honing</t>
  </si>
  <si>
    <t>good archetype and origin, very outdated perks</t>
  </si>
  <si>
    <t>Jian 7 Rifle</t>
  </si>
  <si>
    <t>SLO-12 Post</t>
  </si>
  <si>
    <r>
      <rPr>
        <rFont val="Arial"/>
        <color theme="1"/>
        <sz val="9.0"/>
      </rPr>
      <t xml:space="preserve">Dragonfly
</t>
    </r>
    <r>
      <rPr>
        <rFont val="Arial"/>
        <color rgb="FF181A1B"/>
        <sz val="9.0"/>
      </rPr>
      <t>Swashbuckler</t>
    </r>
  </si>
  <si>
    <t>niche melee perks + Dragonfly on decent frame</t>
  </si>
  <si>
    <t>The Third Axiom</t>
  </si>
  <si>
    <t>dated reload perk + Dragonfly</t>
  </si>
  <si>
    <t>Scalar Potential</t>
  </si>
  <si>
    <t>Golden Tricorn
Attrition Orbs</t>
  </si>
  <si>
    <t>good reload perk + questionable 2nd column</t>
  </si>
  <si>
    <t>Piece of Mind</t>
  </si>
  <si>
    <t>Vorpal Weapon
Adrenaline Junkie</t>
  </si>
  <si>
    <t>no relevant damage perks despite decent origin on good frame</t>
  </si>
  <si>
    <t>Last Perdition</t>
  </si>
  <si>
    <t>very dated single target perk combo</t>
  </si>
  <si>
    <t>Desperado
Swashbuckler</t>
  </si>
  <si>
    <t>no relevant damage perks and bad frame</t>
  </si>
  <si>
    <t>Legal Action II</t>
  </si>
  <si>
    <t>Frenzy on bad frame</t>
  </si>
  <si>
    <t>Forge's Pledge</t>
  </si>
  <si>
    <t>One for All
Multikill Clip</t>
  </si>
  <si>
    <t>OFA style perk on bad weapon type, bad perks otherwise</t>
  </si>
  <si>
    <t>Firefly
Rolling Storm</t>
  </si>
  <si>
    <t>Voltshot
Frenzy
Gear Shift</t>
  </si>
  <si>
    <t>excellent double splash with amazing primary origin on best frame</t>
  </si>
  <si>
    <t>Vouchsafe</t>
  </si>
  <si>
    <t>Repulsor Brace
Dimensional Shift
Shoot to Loot</t>
  </si>
  <si>
    <t>Destabilizing Rounds
Withering Gaze
Explosive Payload</t>
  </si>
  <si>
    <t>best overall utility + void survivability scout</t>
  </si>
  <si>
    <t>Trustee</t>
  </si>
  <si>
    <t>Burning Ambition
Incandescent</t>
  </si>
  <si>
    <t>excellent overall scout package with origin synergy</t>
  </si>
  <si>
    <t>Jolting Feedback
Rapid Hit
Shoot to Loot</t>
  </si>
  <si>
    <t>Voltshot
Meganeura
Frenzy</t>
  </si>
  <si>
    <t>decent double splash, solid archetype</t>
  </si>
  <si>
    <t>Demoralize
Rapid Hit
Shoot to Loot</t>
  </si>
  <si>
    <t>Destabilizing Rounds
Desperate Measures
Withering Gaze</t>
  </si>
  <si>
    <t>Roar of Battle</t>
  </si>
  <si>
    <t>double splash with StL option, good frame just mid origin</t>
  </si>
  <si>
    <t>Destabilizing Rounds
Firefly
Explosive Payload</t>
  </si>
  <si>
    <t>Meganeura
Repulsor Brace
Withering Gaze</t>
  </si>
  <si>
    <t>Destab + Meganeura pretty potent, otherwise decent too, mid frame</t>
  </si>
  <si>
    <t>No Feelings</t>
  </si>
  <si>
    <t>Meganeura
Explosive Payload</t>
  </si>
  <si>
    <t>good double splash with worse origin and frame than Unworthy</t>
  </si>
  <si>
    <t>Bewildering Burst
Explosive Payload
Rapid Hit</t>
  </si>
  <si>
    <t>Ancillary Ordinance
Kinetic Tremors</t>
  </si>
  <si>
    <t>untested perk combo, likely quite good, unfortunate frame</t>
  </si>
  <si>
    <t xml:space="preserve">Kinetic Tremors
Shoot to Loot
Adhesive Ordnance
</t>
  </si>
  <si>
    <t>Firefly
Ancillary Ordinance
Explosive Payload</t>
  </si>
  <si>
    <t>double splash with good perk diversity on mid frame, StL + EP option</t>
  </si>
  <si>
    <t>Incandescent
Heal Clip
Rewind Rounds</t>
  </si>
  <si>
    <t>Firefly
Explosive Payload
Burning Ambition</t>
  </si>
  <si>
    <t>double splash with good perk diversity on mid frame</t>
  </si>
  <si>
    <t>okay reload + KT option, good frame and origin</t>
  </si>
  <si>
    <t>Patron of Lost Causes</t>
  </si>
  <si>
    <t>Rapid Hit
Strategist</t>
  </si>
  <si>
    <t>Kinetic Tremors
Explosive Payload</t>
  </si>
  <si>
    <t>good reload perk + KT on decent frame, odd origin given weapon range</t>
  </si>
  <si>
    <t>Heal Clip
Rapid Hit
Shoot to Loot</t>
  </si>
  <si>
    <t>Incandescent
Explosive Payload</t>
  </si>
  <si>
    <t>classic Heal Clip + Incandescent combo on decent frame and origin</t>
  </si>
  <si>
    <t>Rapid Hit
Shoot to Loot
Demolitionist</t>
  </si>
  <si>
    <t>Voltshot
Explosive Payload</t>
  </si>
  <si>
    <t>Right Hook</t>
  </si>
  <si>
    <t>good reload perk + Voltshot on decent frame</t>
  </si>
  <si>
    <t>Fang of Ir Yût</t>
  </si>
  <si>
    <t>Tear
Slice
Shoot to Loot</t>
  </si>
  <si>
    <t>Meganeura
Hatchling</t>
  </si>
  <si>
    <t>no StL + EP, otherwise better package than Scholar</t>
  </si>
  <si>
    <t>The Scholar</t>
  </si>
  <si>
    <t>Hatchling
Tear
Explosive Payload</t>
  </si>
  <si>
    <t>solid double strand splash, just has bad frame, also has StL + EP</t>
  </si>
  <si>
    <t>Nameless Midnight</t>
  </si>
  <si>
    <t>Rapid Hit
Shoot to Loot</t>
  </si>
  <si>
    <t>decent KT with reload perk, also has StL + EP</t>
  </si>
  <si>
    <t>Inbound Surveillance</t>
  </si>
  <si>
    <t>better kinetic splash than Nameless but worse frame</t>
  </si>
  <si>
    <t>Flared Magwell
Tactical Mag
Alloy Magazine</t>
  </si>
  <si>
    <t>Heal Clip
Shoot to Loot
Dual Loader</t>
  </si>
  <si>
    <t>solid perks and origin on awful uptime archetype</t>
  </si>
  <si>
    <t>Imperative</t>
  </si>
  <si>
    <t>Demolitionist
Rapid Hit</t>
  </si>
  <si>
    <t>good reload perk + KT + great origin on bad frame</t>
  </si>
  <si>
    <t>Brya's Love</t>
  </si>
  <si>
    <t>Loose Change
Shoot to Loot
Rapid Hit</t>
  </si>
  <si>
    <t>Destab access on mid frame, also has StL + EP option though</t>
  </si>
  <si>
    <t>Meganeura
Burning Ambition</t>
  </si>
  <si>
    <t>mediocre perk pool and archetype</t>
  </si>
  <si>
    <t>Heal + Incandescent with bad frame and no perk diversity</t>
  </si>
  <si>
    <t>Last Rite</t>
  </si>
  <si>
    <t>Firefly
Adhesive Ordnance
Explosive Payload</t>
  </si>
  <si>
    <t>unique kinetic combos, also has StL + EP on bad frame</t>
  </si>
  <si>
    <t>Rapid Hit
Rewind Rounds
Collective Demolition</t>
  </si>
  <si>
    <t>Kinetic Tremors
Ancillary Ordinance
Explosive Payload</t>
  </si>
  <si>
    <t>good reload perk + KT + mid origin on bad frame</t>
  </si>
  <si>
    <t>Rolling Storm
Dual Loader</t>
  </si>
  <si>
    <t>Chaos Reshaped
Meganeura
Explosive Payload</t>
  </si>
  <si>
    <t>decent double splash, awkward Chaos pairing, mediocre archetype</t>
  </si>
  <si>
    <t>Eddy Current
Impromptu Ammunition
Shoot to Loot</t>
  </si>
  <si>
    <t>Voltshot
Explosive Payload
Rolling Storm</t>
  </si>
  <si>
    <t>solid 1st column + Voltshot on bad frame, StL + EP as well</t>
  </si>
  <si>
    <t>Jararaca-3SR</t>
  </si>
  <si>
    <t>best frame + decent origin with good reload perk + Headstone</t>
  </si>
  <si>
    <t>Red Tape</t>
  </si>
  <si>
    <r>
      <rPr>
        <rFont val="Arial"/>
        <color theme="1"/>
        <sz val="9.0"/>
      </rPr>
      <t xml:space="preserve">Attrition Orbs
</t>
    </r>
    <r>
      <rPr>
        <rFont val="Arial"/>
        <color rgb="FF181A1B"/>
        <sz val="9.0"/>
      </rPr>
      <t>Demolitionist
Rimestealer</t>
    </r>
  </si>
  <si>
    <t>utility perks + better origin in exchange for worse frame vs. Jararaca</t>
  </si>
  <si>
    <t>Rimestealer
Rapid Hit
Enlightened Action</t>
  </si>
  <si>
    <t>probably best Stasis perks on scout, just bad frame</t>
  </si>
  <si>
    <t>Pointed Inquiry</t>
  </si>
  <si>
    <t>Demoralize
Dragonfly</t>
  </si>
  <si>
    <t>Demoralize much worse than standard Repulsor pairing, good origin</t>
  </si>
  <si>
    <t>The Prophet</t>
  </si>
  <si>
    <r>
      <rPr>
        <rFont val="Arial"/>
        <color theme="1"/>
        <sz val="9.0"/>
      </rPr>
      <t xml:space="preserve">Demolitionist
</t>
    </r>
    <r>
      <rPr>
        <rFont val="Arial"/>
        <color rgb="FF181A1B"/>
        <sz val="9.0"/>
      </rPr>
      <t>Rapid Hit</t>
    </r>
  </si>
  <si>
    <t>Demo can bypass aggressive downsides, origin isn't amazing</t>
  </si>
  <si>
    <t>Perses-D</t>
  </si>
  <si>
    <t>mediocre Headstone setup with Stl + EP access, Häkke helps</t>
  </si>
  <si>
    <t>Staccato-46</t>
  </si>
  <si>
    <t>Outlaw
Shoot to Loot</t>
  </si>
  <si>
    <t>mediocre reload perk + Incandescent with StL + EP access on mid frame</t>
  </si>
  <si>
    <t>Live Fire</t>
  </si>
  <si>
    <t>Rapid Hit
Rimestealer</t>
  </si>
  <si>
    <t>Headstone
Shoot to Loot</t>
  </si>
  <si>
    <t>straightforward Headstone option on mid frame</t>
  </si>
  <si>
    <r>
      <rPr>
        <rFont val="Arial"/>
        <color rgb="FF181A1B"/>
      </rPr>
      <t xml:space="preserve">Long Arm
</t>
    </r>
    <r>
      <rPr>
        <rFont val="Arial"/>
        <i/>
        <color rgb="FF181A1B"/>
      </rPr>
      <t>RotN version</t>
    </r>
  </si>
  <si>
    <t>Rapid Hit
Dual Loader</t>
  </si>
  <si>
    <t>Dragonfly
Explosive Payload
Redirection</t>
  </si>
  <si>
    <t>decent damage profile with Dual Loader, splash perks disappointing</t>
  </si>
  <si>
    <t>Classy Contender</t>
  </si>
  <si>
    <t>decent reload perk and splash perks on decent frame</t>
  </si>
  <si>
    <t>decent reload perk + EP on decent frame</t>
  </si>
  <si>
    <t>Tears of Contrition</t>
  </si>
  <si>
    <t>Auto-Loading Holster
Compulsive Reloader</t>
  </si>
  <si>
    <t>okay loader perks + EP on mid frame</t>
  </si>
  <si>
    <t>Servant Leader</t>
  </si>
  <si>
    <r>
      <rPr>
        <rFont val="Arial"/>
        <color theme="1"/>
        <sz val="9.0"/>
      </rPr>
      <t xml:space="preserve">Rapid Hit
</t>
    </r>
    <r>
      <rPr>
        <rFont val="Arial"/>
        <color rgb="FF181A1B"/>
        <sz val="9.0"/>
      </rPr>
      <t>Shoot to Loot</t>
    </r>
  </si>
  <si>
    <t>good frame but no splash perk</t>
  </si>
  <si>
    <t>The Guiding Sight</t>
  </si>
  <si>
    <t>Enlightened Action
Demolitionist
Slice</t>
  </si>
  <si>
    <t>mediocre splash perk with decent reload perks on bad frame</t>
  </si>
  <si>
    <t>Glissando-47</t>
  </si>
  <si>
    <t>Reconstruction
Discord</t>
  </si>
  <si>
    <t>like The Guiding Sight but with worse reload perks and better frame</t>
  </si>
  <si>
    <t>Talons of the Eagle</t>
  </si>
  <si>
    <t>mediocre reload perk + EP on bad frame</t>
  </si>
  <si>
    <t>Contingency Plan</t>
  </si>
  <si>
    <t>no splash perk despite good frame</t>
  </si>
  <si>
    <t>Royal Chase</t>
  </si>
  <si>
    <t>Auto-Loading Holster
Field Prep</t>
  </si>
  <si>
    <t>only Dragonfly splash on mid frame</t>
  </si>
  <si>
    <t>Eternal Blazon</t>
  </si>
  <si>
    <t>Candle PS</t>
  </si>
  <si>
    <t>outdated damage perk on decent frame</t>
  </si>
  <si>
    <t>Adverse Possession IX</t>
  </si>
  <si>
    <t>single target-only on mid frame</t>
  </si>
  <si>
    <t>Pleiades Corrector</t>
  </si>
  <si>
    <t>Demolitionist
Multikill Clip</t>
  </si>
  <si>
    <t>mediocre reload perk + awful 2nd column on decent frame</t>
  </si>
  <si>
    <t>Incandescent
Burning Ambition
Desperate Measures</t>
  </si>
  <si>
    <t>very similar to Drang, just different frame (preference)</t>
  </si>
  <si>
    <t>Punching Out</t>
  </si>
  <si>
    <t>Incandescent
Meganeura</t>
  </si>
  <si>
    <t>good archetype, great ammo gen, solid perks, great origin</t>
  </si>
  <si>
    <t>Together Forever</t>
  </si>
  <si>
    <t>Heal Clip
Loose Change
Collective Pugilism</t>
  </si>
  <si>
    <t>Incandescent
Burning Ambition
Master of Arms</t>
  </si>
  <si>
    <t>Heliocentric with better origin and perk diversity</t>
  </si>
  <si>
    <t>Repulsor Brace
Frenzy</t>
  </si>
  <si>
    <t>dynamic frame with best Void combo</t>
  </si>
  <si>
    <t>Brass Attacks</t>
  </si>
  <si>
    <t>Repulsor Brace
Impromptu Ammunition</t>
  </si>
  <si>
    <t>not much to improve on this sidearm</t>
  </si>
  <si>
    <t>Seventh Seraph SI-2</t>
  </si>
  <si>
    <t>Flared Magwell
Alloy Magazine
Seraph Rounds</t>
  </si>
  <si>
    <t>Destabilizing Rounds
Dimensional Shift</t>
  </si>
  <si>
    <t>Meganeura
Repulsor Brace
Demoralize</t>
  </si>
  <si>
    <t>great void perks, decent origin, good archetype</t>
  </si>
  <si>
    <t>Heal Clip
Demolitionist</t>
  </si>
  <si>
    <t>Incandescent
Frenzy
Surrounded</t>
  </si>
  <si>
    <t>one of the best Heal Clip + Incandescent users, unfortunately mid origin</t>
  </si>
  <si>
    <t>Insurmountable</t>
  </si>
  <si>
    <t>Repulsor Brace
Air Trigger
Attrition Orbs</t>
  </si>
  <si>
    <t>Destabilizing Rounds
Surrounded</t>
  </si>
  <si>
    <t>best Void combo, great origin, shame about the frame</t>
  </si>
  <si>
    <t>The Keening</t>
  </si>
  <si>
    <t>Jolting Feedback
Dragonfly</t>
  </si>
  <si>
    <t>no sustain perks, good double splash, rest of kit decent</t>
  </si>
  <si>
    <t>Desperate Measures
Kill Clip
Surrounded</t>
  </si>
  <si>
    <t>damage + splash, solid archetype but mid origin</t>
  </si>
  <si>
    <t>Eddy Current
Pugilist
Grave Robber</t>
  </si>
  <si>
    <t>Voltshot
Surrounded</t>
  </si>
  <si>
    <t>similar to Forgiveness but no damage + splash combo</t>
  </si>
  <si>
    <t>Supercharged Magazine
Loose Change
Trickle Charge</t>
  </si>
  <si>
    <t>Jolting Feedback
Voltshot
Rolling Storm</t>
  </si>
  <si>
    <t>more versatile than Anonymous despite slightly worse archetype</t>
  </si>
  <si>
    <t>Eddy Current
Attrition Orbs
Demolitionist</t>
  </si>
  <si>
    <t>solid everything, could be a bit better in 1st column or origin</t>
  </si>
  <si>
    <t>Brigand's Law</t>
  </si>
  <si>
    <t>Threat Detector
Feeding Frenzy
Pugilist</t>
  </si>
  <si>
    <t>Voltshot
Swashbuckler</t>
  </si>
  <si>
    <t>worst of the Voltshot options but still good</t>
  </si>
  <si>
    <t>Drang (Baroque)</t>
  </si>
  <si>
    <t>Wellspring
Disruption Break</t>
  </si>
  <si>
    <t>Incandescent
Swashbuckler</t>
  </si>
  <si>
    <t>solid Incandescent option, no Heal Clip but decent otherwise</t>
  </si>
  <si>
    <t>Empirical Evidence</t>
  </si>
  <si>
    <t>better than Buzzard overall but still not that enticing</t>
  </si>
  <si>
    <t>Compulsive Reloader
Fourth Time's the Charm</t>
  </si>
  <si>
    <t>KT not great on sidearms, also outdated perk pool</t>
  </si>
  <si>
    <r>
      <rPr>
        <rFont val="Arial"/>
        <color rgb="FF181A1B"/>
      </rPr>
      <t xml:space="preserve">Liminal Vigil
</t>
    </r>
    <r>
      <rPr>
        <rFont val="Arial"/>
        <i/>
        <color rgb="FF181A1B"/>
      </rPr>
      <t>RotN version</t>
    </r>
  </si>
  <si>
    <t>Headstone
Attrition Orbs
Enlightened Action</t>
  </si>
  <si>
    <t>Desperate Measures
Rimestealer
Kill Clip</t>
  </si>
  <si>
    <t>Headstone + damage option, good archetype</t>
  </si>
  <si>
    <t>Rimestealer
Frenzy
Desperado</t>
  </si>
  <si>
    <t>similar to RotN Liminal Vigil but arguably worse perks</t>
  </si>
  <si>
    <t>Crystalline Corpsebloom
Headstone</t>
  </si>
  <si>
    <t>Rimestealer
Frenzy</t>
  </si>
  <si>
    <t>similar to Peacebond but arguably worse perks</t>
  </si>
  <si>
    <t>Demolitionist
Rimestealer</t>
  </si>
  <si>
    <t>no Headstone + damage but decent perks on good origin and frame</t>
  </si>
  <si>
    <t>Demolitionist
Pugilist
Slice</t>
  </si>
  <si>
    <t>Hatchling
Swashbuckler</t>
  </si>
  <si>
    <t>great melee synergy option with origin, splash options not great</t>
  </si>
  <si>
    <t>Slice
Collective Demolition</t>
  </si>
  <si>
    <t>Hatchling
Master of Arms</t>
  </si>
  <si>
    <t>solid archetype with okay 1st column and middling 2nd column</t>
  </si>
  <si>
    <t>Senuna SI6</t>
  </si>
  <si>
    <t>Grave Robber
Feeding Frenzy</t>
  </si>
  <si>
    <t>mediocre reload + Headstone</t>
  </si>
  <si>
    <t>The Vision</t>
  </si>
  <si>
    <t>Quickdot SAS</t>
  </si>
  <si>
    <t>Swashbuckler
Kill Clip</t>
  </si>
  <si>
    <t>decent melee-oriented perks on good archetype</t>
  </si>
  <si>
    <t>Threat Detector
Pugilist</t>
  </si>
  <si>
    <t>Surrounded
Frenzy</t>
  </si>
  <si>
    <t>bad frame but decent uptime perks</t>
  </si>
  <si>
    <t>Allied Demand</t>
  </si>
  <si>
    <t>Rapid Hit
Auto-Loading Holster</t>
  </si>
  <si>
    <t>Frenzy
Under-Over</t>
  </si>
  <si>
    <t>high uptime single target roll, no splash</t>
  </si>
  <si>
    <t>Lonesome</t>
  </si>
  <si>
    <t>Grave Robber
Rapid Hit</t>
  </si>
  <si>
    <t>Grave/Swash niche but bad frame</t>
  </si>
  <si>
    <t>Enigma's Draw</t>
  </si>
  <si>
    <t>The Last Dance</t>
  </si>
  <si>
    <t>weak splash but good frame</t>
  </si>
  <si>
    <t>Controlling Vision</t>
  </si>
  <si>
    <t>Surrounded
High Ground</t>
  </si>
  <si>
    <t>only High Ground sidearm, otherwise unremarkable, decent origin</t>
  </si>
  <si>
    <t>Spoiler Alert</t>
  </si>
  <si>
    <t>Frenzy
Swashbuckler</t>
  </si>
  <si>
    <t>good uptime perks on decent frame</t>
  </si>
  <si>
    <t>Redback-5SI</t>
  </si>
  <si>
    <t>Surrounded
Vorpal Weapon</t>
  </si>
  <si>
    <t>more niche perks vs. Spoiler Alert but usable</t>
  </si>
  <si>
    <t>Farewell</t>
  </si>
  <si>
    <t>weak 1st column, decent frame</t>
  </si>
  <si>
    <t>A Swift Verdict</t>
  </si>
  <si>
    <t>bad frame but not a bad perk pairing</t>
  </si>
  <si>
    <t>Fioritura-59</t>
  </si>
  <si>
    <t>Repulsor Brace
Swashbuckler</t>
  </si>
  <si>
    <t>Repulsor with no Void pairing, decent frame</t>
  </si>
  <si>
    <t>The Fool's Remedy</t>
  </si>
  <si>
    <t>perk combo doesn't scale well into endgame</t>
  </si>
  <si>
    <t>High Albedo</t>
  </si>
  <si>
    <t>good archetype but no damage perks</t>
  </si>
  <si>
    <t>Attrition Orbs
Bewildering Burst
Stopping Power</t>
  </si>
  <si>
    <t>Kinetic Tremors
Master of Arms</t>
  </si>
  <si>
    <t>one of the highest utility primaries in high QoL form</t>
  </si>
  <si>
    <t>Heal Clip
Attrition Orbs
Demolitionist</t>
  </si>
  <si>
    <t>Incandescent
Chaos Reshaped
Burning Ambition</t>
  </si>
  <si>
    <t>BiS solar perks, decent origin but great frame combo</t>
  </si>
  <si>
    <t>Unforgiven</t>
  </si>
  <si>
    <t>Repulsor Brace
Chaos Reshaped
Dimensional Shift</t>
  </si>
  <si>
    <t>unique Destab + Chaos access, pretty good otherwise too</t>
  </si>
  <si>
    <t>Repulsor Brace
Dimensional Shift
Collective Pugilism</t>
  </si>
  <si>
    <t>Destabilizing Rounds
Chaos Reshaped</t>
  </si>
  <si>
    <t>best archetype/origin pairing for classic Void combo</t>
  </si>
  <si>
    <t>Attrition Orbs
Cooling Baubles
Demolitionist</t>
  </si>
  <si>
    <t>Target Lock
Crystalline Corpsebloom</t>
  </si>
  <si>
    <t>BiS kinetic slot PK option, probably best stasis SMG too</t>
  </si>
  <si>
    <t>Attrition Orbs
Stopping Power
Shoot to Loot</t>
  </si>
  <si>
    <t>Kinetic Tremors
Bewildering Burst
Firefly</t>
  </si>
  <si>
    <t>worse AO procs and ammo gen than Multimach for better damage</t>
  </si>
  <si>
    <t>MIDA Synergy</t>
  </si>
  <si>
    <t>Heal Clip
Attrition Orbs
Loose Change</t>
  </si>
  <si>
    <t>Incandescent
Burning Ambition
Collective Pugilism</t>
  </si>
  <si>
    <t>basically Yeartide with worse 2nd column and origin</t>
  </si>
  <si>
    <t>Heal Clip
Attrition Orbs
Burning Ambition</t>
  </si>
  <si>
    <t>pretty solid solar combo SMG, also has Burning + Incand access</t>
  </si>
  <si>
    <t>Submission</t>
  </si>
  <si>
    <t>great survivability origin + perk combo, good frame with KT</t>
  </si>
  <si>
    <t>Out of Bounds</t>
  </si>
  <si>
    <t>probably as good as an arc SMG gets, just missing AO</t>
  </si>
  <si>
    <t>Dragonfly
Rewind Rounds
Rolling Storm</t>
  </si>
  <si>
    <t>Jolting Feedback
Target Lock
Desperate Measures</t>
  </si>
  <si>
    <t>no utility perks but BiS for PKs, good add slayer, and solid archetype</t>
  </si>
  <si>
    <t>Repulsor Brace
Threat Detector</t>
  </si>
  <si>
    <t>worse archetype than Recluse, also slightly worse reload perks</t>
  </si>
  <si>
    <t>Bug-Out Bag</t>
  </si>
  <si>
    <t>Repulsor Brace
Attrition Orbs</t>
  </si>
  <si>
    <t>decent void combo SMG, not really remarkable</t>
  </si>
  <si>
    <t>Vikala SMG4</t>
  </si>
  <si>
    <t>Dimensional Shift</t>
  </si>
  <si>
    <t>no Repulsor pairing, otherwise pretty good besides origin</t>
  </si>
  <si>
    <t>Slice
Tear</t>
  </si>
  <si>
    <t>Chaos Reshaped
Hatchling
Firefly</t>
  </si>
  <si>
    <t>excellent neutral perks, only held back by energy and origin</t>
  </si>
  <si>
    <t>Bewildering Burst
Lead from Light
Pugilist</t>
  </si>
  <si>
    <t>Kinetic Tremors
Ancillary Ordinance
Attrition Orbs</t>
  </si>
  <si>
    <t>no Attrition + KT combo, otherwise pretty solid</t>
  </si>
  <si>
    <r>
      <rPr>
        <rFont val="Arial"/>
        <color rgb="FF181A1B"/>
      </rPr>
      <t xml:space="preserve">No Survivors
</t>
    </r>
    <r>
      <rPr>
        <rFont val="Arial"/>
        <i/>
        <color rgb="FF181A1B"/>
      </rPr>
      <t>RotN version</t>
    </r>
  </si>
  <si>
    <t>solid Incandescent SMG, worse than Yeartide in most departments</t>
  </si>
  <si>
    <t>Heal Clip
Collective Demolition</t>
  </si>
  <si>
    <t>Incandescent
Burning Ambition
Attrition Orbs</t>
  </si>
  <si>
    <t>decent solar combo SMG, good origin, not the best frame</t>
  </si>
  <si>
    <t>typical void combo, but bad frame and origin</t>
  </si>
  <si>
    <t>Every Waking Moment</t>
  </si>
  <si>
    <t>Meganeura
Demoralize</t>
  </si>
  <si>
    <t>very lethal perk combos, but bad frame, and no classic void pairing</t>
  </si>
  <si>
    <t>Adjudicator</t>
  </si>
  <si>
    <t>AO + KT but bad frame and poor diversity, mediocre origin</t>
  </si>
  <si>
    <t>Noxious Vetiver</t>
  </si>
  <si>
    <t>Attrition Orbs
Loose Change
Pugilist</t>
  </si>
  <si>
    <t>great perk and origin combo, shame about the frame</t>
  </si>
  <si>
    <t>Death Adder</t>
  </si>
  <si>
    <t>Burning Ambition</t>
  </si>
  <si>
    <t>Burning Ambition is a little build-dependent to be only splash perk</t>
  </si>
  <si>
    <t>Perfect Pitch</t>
  </si>
  <si>
    <t>worst Heal + Incandescent SMG</t>
  </si>
  <si>
    <t>Subjunctive</t>
  </si>
  <si>
    <t>Threat Detector
Stats for All
Shoot to Loot</t>
  </si>
  <si>
    <t>Voltshot
Attrition Orbs</t>
  </si>
  <si>
    <t>Voltshot a little worse than Jolting in endgame, otherwise solid</t>
  </si>
  <si>
    <t>Unending Tempest</t>
  </si>
  <si>
    <t>Crystalline Corpsebloom
Chaos Reshaped</t>
  </si>
  <si>
    <t>similar to Synchronic, but Crystalline is better than Hatchling</t>
  </si>
  <si>
    <t>Synchronic Roulette</t>
  </si>
  <si>
    <t>AO + Chaos + Nanotech good, but bad frame and poor diversity</t>
  </si>
  <si>
    <t xml:space="preserve"> The Immortal</t>
  </si>
  <si>
    <t>Attrition Orbs
Hatchling
Slice</t>
  </si>
  <si>
    <t>Elemental Honing
Master of Arms
Target Lock</t>
  </si>
  <si>
    <t>worse than Fast Talker for PKs but alright utility option</t>
  </si>
  <si>
    <t>Threat Detector
Shoot to Loot
Feeding Frenzy</t>
  </si>
  <si>
    <t>worse archetype and origin than Subjunctive, pretty good still</t>
  </si>
  <si>
    <t>Whatchamacallit</t>
  </si>
  <si>
    <t>bad 1st column but good add clear frame and origin</t>
  </si>
  <si>
    <t>CALUS Mini-Tool</t>
  </si>
  <si>
    <t>Threat Detector
Grave Robber
Unrelenting</t>
  </si>
  <si>
    <t>Incandescent
Surrounded</t>
  </si>
  <si>
    <t>decent Incandescent pick, nothing special though</t>
  </si>
  <si>
    <t>Rimestealer
Lead from Light
Demolitionist</t>
  </si>
  <si>
    <t>Crystalline Corpsebloom
Collective Pugilism
Attrition Orbs</t>
  </si>
  <si>
    <t>probably struggles in endgame with perk combos</t>
  </si>
  <si>
    <t>DEADHORSE 04</t>
  </si>
  <si>
    <t>Rimestealer
Impromptu Ammunition</t>
  </si>
  <si>
    <t>Crystalline Corpsebloom
Surrounded</t>
  </si>
  <si>
    <t>very similar to Seraphine Haze</t>
  </si>
  <si>
    <t>Forensic Nightmare</t>
  </si>
  <si>
    <t>Rimestealer
Attrition Orbs</t>
  </si>
  <si>
    <t>Crystalline Corpsebloom
Sword Logic</t>
  </si>
  <si>
    <t>classic stasis combo, good origin, bad frame</t>
  </si>
  <si>
    <t>The Hero's Burden</t>
  </si>
  <si>
    <t>Destabilizing access on solid archetype, interesting origin, not amazing</t>
  </si>
  <si>
    <t>The Showrunner</t>
  </si>
  <si>
    <t>Grave Robber
Overflow</t>
  </si>
  <si>
    <t>Kinetic Tremors
Swashbuckler</t>
  </si>
  <si>
    <t>Multimach with worse perks and origin and not enhanceable</t>
  </si>
  <si>
    <t>Slice
Proximity Power</t>
  </si>
  <si>
    <t>Hatchling
Dragonfly
Surrounded</t>
  </si>
  <si>
    <t>good origin and solid archetype, Strand perks underwhelming</t>
  </si>
  <si>
    <t>Seventh Seraph VY-7</t>
  </si>
  <si>
    <t>awful 1st column, also bad frame, okay origin</t>
  </si>
  <si>
    <t>Prolonged Engagement</t>
  </si>
  <si>
    <t>terrible 1st column, rest of kit is okay</t>
  </si>
  <si>
    <t>Yarovit MG4</t>
  </si>
  <si>
    <t>Enlightened Action
Rewind Rounds</t>
  </si>
  <si>
    <t>Headstone
Surrounded
Desperate Measures</t>
  </si>
  <si>
    <t>Headstone inconsistent on SMGs, solid frame and reload options</t>
  </si>
  <si>
    <t>Blood Feud</t>
  </si>
  <si>
    <t>Grave Robber
Pugilist</t>
  </si>
  <si>
    <t>Headstone
Swashbuckler
Frenzy</t>
  </si>
  <si>
    <t>melee options paired with Headstone, nothing special</t>
  </si>
  <si>
    <t>Cold Front</t>
  </si>
  <si>
    <t>Enlightened Action
Rewind Rounds
Stats for All</t>
  </si>
  <si>
    <t>Frenzy
One for All
Attrition Orbs</t>
  </si>
  <si>
    <t>strictly single target perks, Attrition Orbs available</t>
  </si>
  <si>
    <t>Grave Robber
Pugilist
Subsistence</t>
  </si>
  <si>
    <t>Hatchling
Swashbuckler
Sword Logic</t>
  </si>
  <si>
    <t>uninteresting perk pool, solid frame</t>
  </si>
  <si>
    <t>Borrowed Time</t>
  </si>
  <si>
    <t>Threat Detector
Grave Robber</t>
  </si>
  <si>
    <t>Dragonfly
Surrounded
Frenzy</t>
  </si>
  <si>
    <t>mostly single target perks, okay frame, good origin</t>
  </si>
  <si>
    <t>Funnelweb</t>
  </si>
  <si>
    <t>decent origin and frame but very dated perks</t>
  </si>
  <si>
    <t>Escape Velocity</t>
  </si>
  <si>
    <t>IS 5 Circle</t>
  </si>
  <si>
    <t>single target perks paired with good frame, nothing special</t>
  </si>
  <si>
    <t>Pugilist
Subsistence</t>
  </si>
  <si>
    <t>no consistent reload perk, melee-focused, okay frame</t>
  </si>
  <si>
    <t>Stochastic Variable</t>
  </si>
  <si>
    <t>mediocre reload perk + weak splash on good frame</t>
  </si>
  <si>
    <t>Rapacious Appetite</t>
  </si>
  <si>
    <t>Envious Assassin
Fourth Time's the Charm</t>
  </si>
  <si>
    <t>Headstone
Frenzy
One for All</t>
  </si>
  <si>
    <t>Headstone with no good reload perks, mediocre origin</t>
  </si>
  <si>
    <t>Extraordinary Rendition</t>
  </si>
  <si>
    <t>Overflow
Subsistence</t>
  </si>
  <si>
    <t>extremely dated perks on okay frame</t>
  </si>
  <si>
    <t>Pizzicato-22</t>
  </si>
  <si>
    <t>Ensemble
Ambitious Assassin</t>
  </si>
  <si>
    <t>bad reload perks and Swash on decent frame</t>
  </si>
  <si>
    <t>Enyo-D</t>
  </si>
  <si>
    <t>bad reload perk on bad frame</t>
  </si>
  <si>
    <t>Friction Fire</t>
  </si>
  <si>
    <t>Threat Detector
Auto-Loading Holster</t>
  </si>
  <si>
    <t>Rampage
Vorpal Weapon</t>
  </si>
  <si>
    <t>extremely outdated damage perks on bad frame</t>
  </si>
  <si>
    <t>Quick Launch</t>
  </si>
  <si>
    <t>High-Velocity Rounds</t>
  </si>
  <si>
    <t>Repulsor Brace
Dimensional Shift
Reconstruction</t>
  </si>
  <si>
    <t>Destabilizing Rounds
Chain Reaction
Attrition Orbs</t>
  </si>
  <si>
    <t>BiS add clear + utility area denial with great origin trait, also damage now</t>
  </si>
  <si>
    <t>Ouster Engine</t>
  </si>
  <si>
    <t>Air Trigger
Blast Distributor
Auto-Loading Holster</t>
  </si>
  <si>
    <t>Chaos Reshaped
Crystalline Corpsebloom
Chain Reaction</t>
  </si>
  <si>
    <t>also has Rimestealer, excellent perk spread</t>
  </si>
  <si>
    <t>Auto-Loading Holster
Blast Distributor
Impromptu Ammunition</t>
  </si>
  <si>
    <t>Aggregate Charge
Voltshot
Attrition Orbs</t>
  </si>
  <si>
    <t>best non-survivability area denial</t>
  </si>
  <si>
    <t>Envious Arsenal
Blast Distributor
Slice</t>
  </si>
  <si>
    <t>Elemental Honing
One for All
Attrition Orbs</t>
  </si>
  <si>
    <t>excellent utility and ammo generation potential, good boss damage perks</t>
  </si>
  <si>
    <t>High-Velocity Rounds
Spike Grenades
Implosion Rounds</t>
  </si>
  <si>
    <t>Bipod
Aggregate Charge
Elemental Honing</t>
  </si>
  <si>
    <t>Bipod option interesting for movement, also BiS swap BGL</t>
  </si>
  <si>
    <t>Auto-Loading Holster
Wellspring
Impulse Amplifier</t>
  </si>
  <si>
    <t>Incandescent
Master of Arms
Attrition Orbs</t>
  </si>
  <si>
    <t>versatile but not particularly strong in one area vs. other area denials</t>
  </si>
  <si>
    <t>Auto-Loading Holster
Lead from Gold</t>
  </si>
  <si>
    <t>Vorpal Weapon
Demolitionist
One for All</t>
  </si>
  <si>
    <t>very high QoL darkness Transcendence builder</t>
  </si>
  <si>
    <t>Reconstruction
Blast Distributor
Eddy Current</t>
  </si>
  <si>
    <t>Elemental Honing
Voltshot
Frenzy</t>
  </si>
  <si>
    <t>easy 2 mag for movement, Voltshot add clear decent</t>
  </si>
  <si>
    <r>
      <rPr>
        <rFont val="Arial"/>
        <color theme="1"/>
      </rPr>
      <t xml:space="preserve">The Mountaintop
</t>
    </r>
    <r>
      <rPr>
        <rFont val="Arial"/>
        <i/>
        <color theme="1"/>
      </rPr>
      <t>BRAVE version</t>
    </r>
  </si>
  <si>
    <t>Auto-Loading Holster
Impulse Amplifier
Lead from Gold</t>
  </si>
  <si>
    <t>Recombination
All-Star
Elemental Honing</t>
  </si>
  <si>
    <t>good burst with Recomb, other movement option in kinetic slot</t>
  </si>
  <si>
    <t>Disorienting Grenades
Spike Grenades</t>
  </si>
  <si>
    <t>Envious Arsenal
Slideways</t>
  </si>
  <si>
    <t>excellent utility, good for Transcendence and freeze in rotations</t>
  </si>
  <si>
    <t>decent package but Baton is generally better</t>
  </si>
  <si>
    <t>Chain Reaction
Air Trigger
Rimestealer</t>
  </si>
  <si>
    <t>Redirection
Reaper's Tithe
Crystalline Corpsebloom</t>
  </si>
  <si>
    <t>potential Collective Demolition option, otherwise insane add clear</t>
  </si>
  <si>
    <t>Spike Grenades
Disorienting Grenades</t>
  </si>
  <si>
    <t>Envious Arsenal
Auto-Loading Holster
Repulsor Brace</t>
  </si>
  <si>
    <t>Aggregate Charge
Bait and Switch
Withering Gaze</t>
  </si>
  <si>
    <t>BiS DPS double fire, no Gravity Well though</t>
  </si>
  <si>
    <r>
      <rPr>
        <rFont val="Arial"/>
        <color theme="1"/>
      </rPr>
      <t xml:space="preserve">Wilderflight
</t>
    </r>
    <r>
      <rPr>
        <rFont val="Arial"/>
        <i/>
        <color theme="1"/>
      </rPr>
      <t>RotN version</t>
    </r>
  </si>
  <si>
    <t>Envious Arsenal
Auto-Loading Holster
Demolitionist</t>
  </si>
  <si>
    <t>Bait and Switch
Lead from Gold
Frenzy</t>
  </si>
  <si>
    <t>worse swap GL than Theodolite, but excellent blinding option</t>
  </si>
  <si>
    <t>Heal Clip
Demolitionist
Field Prep</t>
  </si>
  <si>
    <t>Incandescent
Kill Clip
Desperate Measures</t>
  </si>
  <si>
    <t>good Heal Clip user, nice origin trait, solid ammo gen potential</t>
  </si>
  <si>
    <r>
      <rPr>
        <rFont val="Arial"/>
        <color theme="1"/>
      </rPr>
      <t xml:space="preserve">Forbearance
</t>
    </r>
    <r>
      <rPr>
        <rFont val="Arial"/>
        <i/>
        <color theme="1"/>
      </rPr>
      <t>BRAVE version</t>
    </r>
  </si>
  <si>
    <t>Redirection
Air Trigger
Unrelenting</t>
  </si>
  <si>
    <t>Chain Reaction
Desperate Measures
Voltshot</t>
  </si>
  <si>
    <t>no Souldrinker but still same classic perks</t>
  </si>
  <si>
    <t>Rolling Storm
Unrelenting
Demolitionist</t>
  </si>
  <si>
    <t>Chain Reaction
Gear Shift</t>
  </si>
  <si>
    <t>better survivability than BRAVE version, good ammo gen</t>
  </si>
  <si>
    <t>Disorienting Grenades</t>
  </si>
  <si>
    <t>Auto-Loading Holster
Demolitionist
Discord</t>
  </si>
  <si>
    <t>Bipod
Chill Clip</t>
  </si>
  <si>
    <t>best blinding option</t>
  </si>
  <si>
    <r>
      <rPr>
        <rFont val="Arial"/>
        <color theme="1"/>
      </rPr>
      <t xml:space="preserve">New Pacific Epitaph
</t>
    </r>
    <r>
      <rPr>
        <rFont val="Arial"/>
        <i/>
        <color theme="1"/>
      </rPr>
      <t>RotN version</t>
    </r>
  </si>
  <si>
    <t>Demolitionist
Envious Arsenal
Lead from Gold</t>
  </si>
  <si>
    <t>Redirection
Chain Reaction</t>
  </si>
  <si>
    <t>solid ammo generator, interesting Redirection user</t>
  </si>
  <si>
    <t>decent perk spread but no Gravity Well vs. NPE</t>
  </si>
  <si>
    <t>Slice
Slideways</t>
  </si>
  <si>
    <t>Chain Reaction
Deconstruct</t>
  </si>
  <si>
    <t>spam option with Slideways, Slice also solid</t>
  </si>
  <si>
    <t>Field Prep
Wellspring
Envious Assassin</t>
  </si>
  <si>
    <t>Destabilizing buff + Field Prep affecting ammo gen makes this decent</t>
  </si>
  <si>
    <t>great origin trait, decent ammo gen option but worse than Martyr's</t>
  </si>
  <si>
    <t>Spike Grenades</t>
  </si>
  <si>
    <t>Chain Reaction
Trickle Charge
Demolitionist</t>
  </si>
  <si>
    <t>Gear Shift
Voltshot
Reaper's Tithe</t>
  </si>
  <si>
    <t>very unique roam perks, unfortunately a lightweight</t>
  </si>
  <si>
    <t>Ambitious Assassin
Lead from Gold
Field Prep</t>
  </si>
  <si>
    <t>solid ammo generator but mediocre origin and Voltshot synergy not great</t>
  </si>
  <si>
    <t>Bait and Switch
Vorpal Weapon</t>
  </si>
  <si>
    <t>better damage perk than old Wilderlight, not much else</t>
  </si>
  <si>
    <t>Lead from Gold
Slideways</t>
  </si>
  <si>
    <t>Auto-Loading Holster
Frenzy</t>
  </si>
  <si>
    <t>Stunning Recovery</t>
  </si>
  <si>
    <t>excellent QoL blinding option</t>
  </si>
  <si>
    <t>Slideshot
Lead from Gold</t>
  </si>
  <si>
    <t>solid Slideshot option, less awkward than Liturgy but worse utility</t>
  </si>
  <si>
    <t>Demolitionist
Vorpal Weapon</t>
  </si>
  <si>
    <t>enhanced ALH but no Chill Clip vs. Lingering</t>
  </si>
  <si>
    <t>Ambitious Assassin
Lead from Gold</t>
  </si>
  <si>
    <t>Wellspring
Auto-Loading Holster
Rampage</t>
  </si>
  <si>
    <t>worst wave, but archetype is still serviceable enough</t>
  </si>
  <si>
    <t>usable blinding GL with swap damage options</t>
  </si>
  <si>
    <t>usable blinding GL</t>
  </si>
  <si>
    <t>Lead from Gold
Envious Assassin</t>
  </si>
  <si>
    <t>Voltshot
Demolitionist</t>
  </si>
  <si>
    <t>no reload perk BGL, Voltshot synergy not great</t>
  </si>
  <si>
    <t>worst archetype and awful perks</t>
  </si>
  <si>
    <t>Accelerated Coils
Enhanced Battery</t>
  </si>
  <si>
    <t>Reconstruction
Envious Arsenal
Discord</t>
  </si>
  <si>
    <t>Aggregate Charge
Controlled Burst
Reservoir Burst</t>
  </si>
  <si>
    <t>best add clear fusion, also solid for damage besides frame</t>
  </si>
  <si>
    <t>Overflow
Reconstruction
Envious Arsenal</t>
  </si>
  <si>
    <t>Elemental Honing
Controlled Burst
Reservoir Burst</t>
  </si>
  <si>
    <t>best energy rapid DPS fusion</t>
  </si>
  <si>
    <t>no AA but better perks than every rapid</t>
  </si>
  <si>
    <t>Chill Clip
Controlled Burst</t>
  </si>
  <si>
    <t>Accelerated Assault probably takes the cake over Lionfish versatility</t>
  </si>
  <si>
    <t>Reconstruction
Lead from Gold</t>
  </si>
  <si>
    <t>Chill Clip
Controlled Burst
Elemental Honing</t>
  </si>
  <si>
    <t>BiS utility and damage fusion on best archetype, only Rewind missing</t>
  </si>
  <si>
    <t>Accelerando-42</t>
  </si>
  <si>
    <t>Overflow
Slice</t>
  </si>
  <si>
    <t>Aggregate Charge
Controlled Burst
Surrounded</t>
  </si>
  <si>
    <t>Scatter Signal with a better frame and 2nd column</t>
  </si>
  <si>
    <t>Slice utility helpful in some cases, e. Overflow still good synergy</t>
  </si>
  <si>
    <t>Rewind Rounds
Demolitionist
Collective Demolition</t>
  </si>
  <si>
    <t>Controlled Burst
Aggregate Charge</t>
  </si>
  <si>
    <t>arguably highest QoL dump fusion</t>
  </si>
  <si>
    <t>Reconstruction
Incandescent
Demolitionist</t>
  </si>
  <si>
    <t>Bait and Switch
Controlled Burst
Discord</t>
  </si>
  <si>
    <t>range limitations, but great perks, also best user of unique minor scalar</t>
  </si>
  <si>
    <t>TAHOMA 01</t>
  </si>
  <si>
    <t>Overflow
Collective Demolition
Lead from Gold</t>
  </si>
  <si>
    <t>Aggregate Charge
Controlled Burst
Collective Pugilism</t>
  </si>
  <si>
    <t>mediocre frame, perks are alright for damage, interesting ability gen</t>
  </si>
  <si>
    <t>Auto-Loading Holster
Lead from Gold
Destabilizing Rounds</t>
  </si>
  <si>
    <t>Controlled Burst
Reservoir Burst
Withering Gaze</t>
  </si>
  <si>
    <t>mediocre setup for damage perks, has roam stuff and Withering</t>
  </si>
  <si>
    <t>Envious Assassin
Slideshot
Air Trigger</t>
  </si>
  <si>
    <t>one of the best close range Withering Gaze weapons</t>
  </si>
  <si>
    <t>Discord
Repulsor Brace</t>
  </si>
  <si>
    <t>Destabilizing Rounds
Withering Gaze
Controlled Burst</t>
  </si>
  <si>
    <t>probably best Discord fusion, also has Withering swap option</t>
  </si>
  <si>
    <t>Discord
Lead from Gold
Grave Robber</t>
  </si>
  <si>
    <t>Reservoir Burst
Destabilizing Rounds
Vorpal Weapon</t>
  </si>
  <si>
    <t>best vertical burst add clear fusion</t>
  </si>
  <si>
    <t>Clown Cartridge
Discord</t>
  </si>
  <si>
    <t>Elemental Honing
Rolling Storm
One for All</t>
  </si>
  <si>
    <t>solid damage profile but range limitations, Clown isn't the best</t>
  </si>
  <si>
    <t>Envious Arsenal
Rimestealer</t>
  </si>
  <si>
    <t>Chill Clip
Controlled Burst
Aggregate Charge</t>
  </si>
  <si>
    <t>two shot freeze but worse utility than Deliverance</t>
  </si>
  <si>
    <t>Reconstruction
Incandescent
Heal Clip</t>
  </si>
  <si>
    <t>Controlled Burst
Burning Ambition</t>
  </si>
  <si>
    <t>Lead + less consistent damage perk on okay frame</t>
  </si>
  <si>
    <t>Reconstruction
Slideways</t>
  </si>
  <si>
    <t>Reservoir Burst
Controlled Burst
Voltshot</t>
  </si>
  <si>
    <t>worst frame, solid perks on recent release</t>
  </si>
  <si>
    <t>Reconstruction
Demolitionist
Cornered</t>
  </si>
  <si>
    <t>Controlled Burst
Surrounded</t>
  </si>
  <si>
    <t>very similar to PLUG</t>
  </si>
  <si>
    <t>Repulsor Brace
Dimensional Shift
Lead from Gold</t>
  </si>
  <si>
    <t>Withering Gaze
Destabilizing Rounds
Chain Reaction</t>
  </si>
  <si>
    <t>unfortunately no Discord, decent utility with Withering Gaze</t>
  </si>
  <si>
    <t>Tempered Dynamo</t>
  </si>
  <si>
    <t>Rewind Rounds
Impromptu Ammunition</t>
  </si>
  <si>
    <t>Discord
Gear Shift</t>
  </si>
  <si>
    <t>confusing perk pool, not really strong in any one thing</t>
  </si>
  <si>
    <t>Envious Assassin
Lead from Gold</t>
  </si>
  <si>
    <t>Reservoir Burst
Incandescent</t>
  </si>
  <si>
    <t>post-nerf Envious hurts, still decent damage</t>
  </si>
  <si>
    <t>Envious Assassin
Overflow
Demolitionist</t>
  </si>
  <si>
    <t>Controlled Burst
Reservoir Burst</t>
  </si>
  <si>
    <t>overflow perk + consistent damage perk + low QoL frame</t>
  </si>
  <si>
    <t>Auto-Loading Holster
Discord</t>
  </si>
  <si>
    <t>good loader perk but decent frame and mediocre damage perk</t>
  </si>
  <si>
    <t>Demolitionist
Crystalline Corpsebloom</t>
  </si>
  <si>
    <t>Chill Clip
Controlled Burst
Chain Reaction</t>
  </si>
  <si>
    <t>decent grenade returns, slow charge but still 2 shot freeze</t>
  </si>
  <si>
    <t>Trickle Charge
Lead from Gold</t>
  </si>
  <si>
    <t>Voltshot
Gear Shift
Reservoir Burst</t>
  </si>
  <si>
    <t>add clear perks with poor setup</t>
  </si>
  <si>
    <t>Clown Cartridge
Demolitionist</t>
  </si>
  <si>
    <t>Reservoir Burst
Discord
Crystalline Corpsebloom</t>
  </si>
  <si>
    <t>outdated damage perks, mediocre roam combos</t>
  </si>
  <si>
    <t>Aggregate Charge
Hatchling</t>
  </si>
  <si>
    <t>doesn't know what it wants to do</t>
  </si>
  <si>
    <t>Reservoir Burst
Gear Shift</t>
  </si>
  <si>
    <t>no ammo gen add clear fusion</t>
  </si>
  <si>
    <t>bad QoL for a Chill Clip fusion even if perk combo is decent</t>
  </si>
  <si>
    <t>Dimensional Shift
Lead from Gold
Impromptu Ammunition</t>
  </si>
  <si>
    <t>Destabilizing Rounds
Controlled Burst</t>
  </si>
  <si>
    <t>no good reload perk, no Repulsor, bad frame</t>
  </si>
  <si>
    <t>Controlled Burst
Voltshot
Demolitionist</t>
  </si>
  <si>
    <t>awful 1st column, mostly irrelevant 2nd column</t>
  </si>
  <si>
    <t>Heal Clip
Slideshot</t>
  </si>
  <si>
    <t>Incandescent
Vorpal Weapon</t>
  </si>
  <si>
    <t>awful frame for Heal Clip, non-starter for damage</t>
  </si>
  <si>
    <t>worst frame with Lead + okay damage perk</t>
  </si>
  <si>
    <t>irrelevant 1st column + okay damage perk on okay frame</t>
  </si>
  <si>
    <t>Frenzy
Reservoir Burst</t>
  </si>
  <si>
    <t>worst frame with bad 1st column and inconsistent damage perk</t>
  </si>
  <si>
    <t>Repulsor Brace
Dimensional Shift</t>
  </si>
  <si>
    <t>add clear fusion with no ammo perk</t>
  </si>
  <si>
    <t>High-Impact Reserves
Demolitionist</t>
  </si>
  <si>
    <t>bad damage perk on okay frame</t>
  </si>
  <si>
    <t>Lead from Gold
Auto-Loading Holster
Field Prep</t>
  </si>
  <si>
    <t>no damage perk on okay frame</t>
  </si>
  <si>
    <t>no damage perk on bad frame</t>
  </si>
  <si>
    <t>Shield</t>
  </si>
  <si>
    <t>Lightweight Emitter
Auxiliary Reserves</t>
  </si>
  <si>
    <t>Appended Mag
Swap Mag</t>
  </si>
  <si>
    <t>Overflow
Impulse Amplifier
Lead from Gold</t>
  </si>
  <si>
    <t>fast 2 shot freeze, excellent utility perk array, CtM access</t>
  </si>
  <si>
    <t>Slice
Close to Melee
Chain Reaction</t>
  </si>
  <si>
    <t>Chaos Reshaped
Mega Kill Clip
Replenishing Aegis</t>
  </si>
  <si>
    <t>only Slice glaive, very unique perk combos</t>
  </si>
  <si>
    <t>Repulsor Brace
Dimensional Shift
Impulse Amplifier</t>
  </si>
  <si>
    <t>Destabilizing Rounds
Close to Melee
Chaos Reshaped</t>
  </si>
  <si>
    <t>only glaive with Chaos Reshaped access, solid neutral perks too</t>
  </si>
  <si>
    <r>
      <rPr>
        <rFont val="Arial"/>
        <color theme="1"/>
        <sz val="9.0"/>
      </rPr>
      <t xml:space="preserve">Repulsor Brace
</t>
    </r>
    <r>
      <rPr>
        <rFont val="Arial"/>
        <color rgb="FF181A1B"/>
        <sz val="9.0"/>
      </rPr>
      <t>Disruption Break
Lead from Gold</t>
    </r>
  </si>
  <si>
    <t>Destabilizing Rounds
Close to Melee
Redirection</t>
  </si>
  <si>
    <t>probably BiS pairing with Techsec 4pc</t>
  </si>
  <si>
    <t>Lubrae's Ruin</t>
  </si>
  <si>
    <t>Close to Melee
Grave Robber
Frenzy</t>
  </si>
  <si>
    <t>Chaos Reshaped
Incandescent
Unrelenting</t>
  </si>
  <si>
    <t>not the best Souldrinker user, decent package though</t>
  </si>
  <si>
    <t>Nezarec's Whisper</t>
  </si>
  <si>
    <t>Demolitionist
Impulse Amplifier
Lead from Gold</t>
  </si>
  <si>
    <t>Extrovert triggers on melee kills, decent neutral perks too</t>
  </si>
  <si>
    <t>Ecliptic Distaff</t>
  </si>
  <si>
    <t>Repulsor Brace
Impulse Amplifier
Disruption Break</t>
  </si>
  <si>
    <t>Close to Melee
Destabilizing Rounds
Chaos Reshaped</t>
  </si>
  <si>
    <t>jack of all trades, also has Withering Gaze access</t>
  </si>
  <si>
    <t>Chaos Reshaped
Reconstruction
Heal Clip</t>
  </si>
  <si>
    <t>Close to Melee
Mega Kill Clip
Chain Reaction</t>
  </si>
  <si>
    <t>Chaos Reshaped and solid 2nd column</t>
  </si>
  <si>
    <t>Impulse Amplifier
Lead from Gold</t>
  </si>
  <si>
    <t>Close to Melee
Frenzy</t>
  </si>
  <si>
    <t>solid origin and straightforward QoL perks, great shield duration</t>
  </si>
  <si>
    <t>Unexpected Resurgence</t>
  </si>
  <si>
    <t>Auto-Loading Holster
Impulse Amplifier
Replenishing Aegis</t>
  </si>
  <si>
    <t>Frenzy
Close to Melee
Voltshot</t>
  </si>
  <si>
    <t>ALH is interesting but perks aren't stellar, best shield duration though</t>
  </si>
  <si>
    <t>Impulse Amplifier
Grave Robber
Lead from Gold</t>
  </si>
  <si>
    <t>Surrounded
Close to Melee
Voltshot</t>
  </si>
  <si>
    <t>better shield duration than Greasy with similar perks/origin</t>
  </si>
  <si>
    <r>
      <rPr>
        <rFont val="Arial"/>
        <color theme="1"/>
      </rPr>
      <t xml:space="preserve">Greasy Luck
</t>
    </r>
    <r>
      <rPr>
        <rFont val="Arial"/>
        <i/>
        <color theme="1"/>
      </rPr>
      <t>RotN version</t>
    </r>
  </si>
  <si>
    <t>Reconstruction
Lead from Gold
Heal Clip</t>
  </si>
  <si>
    <t>Incandescent
Redirection
Close to Melee</t>
  </si>
  <si>
    <t>interesting utility perks in both columns, awful shield duration</t>
  </si>
  <si>
    <t>Overflow
Demolitionist
Immovable Object</t>
  </si>
  <si>
    <t>Close to Melee
Unstoppable Force
Impulse Amplifier</t>
  </si>
  <si>
    <t>better overall perks vs. Albedo, decent overall</t>
  </si>
  <si>
    <t>Grave Robber
Replenishing Aegis
Air Trigger</t>
  </si>
  <si>
    <t>Lead from Gold
Demolitionist
Close to Melee</t>
  </si>
  <si>
    <t>mediocre shield duration, perks nothing special</t>
  </si>
  <si>
    <t>Tactical Mag</t>
  </si>
  <si>
    <t>Pugilist
Stopping Power
Bewildering Burst</t>
  </si>
  <si>
    <t>One-Two Punch
Trench Barrel
All-Star</t>
  </si>
  <si>
    <t>BiS shotgun for most common shotgun use case</t>
  </si>
  <si>
    <t>Assault Mag</t>
  </si>
  <si>
    <t>Redirection
Reconstruction
Demolitionist</t>
  </si>
  <si>
    <t>Recombination
Aggregate Charge
Cascade Point</t>
  </si>
  <si>
    <t>highest burst shotgun in the game</t>
  </si>
  <si>
    <t>Redirection
Fourth Time's the Charm</t>
  </si>
  <si>
    <t>niche Redirection burst + total damage slug</t>
  </si>
  <si>
    <t>Aggregate Charge
Discord</t>
  </si>
  <si>
    <t>Trench Barrel
Elemental Honing
Gear Shift</t>
  </si>
  <si>
    <t>best Trench double damage spam aggressive</t>
  </si>
  <si>
    <t>Grave Robber
Discord
Demolitionist</t>
  </si>
  <si>
    <t>One-Two Punch
Destabilizing Rounds
Trench Barrel</t>
  </si>
  <si>
    <t>free damage on origin, best energy 12P option, Discord alternative</t>
  </si>
  <si>
    <t>Grave Robber
Lead from Gold</t>
  </si>
  <si>
    <t>One-Two Punch
Trench Barrel</t>
  </si>
  <si>
    <t>Perfect Paradox alternative</t>
  </si>
  <si>
    <t>Threat Level</t>
  </si>
  <si>
    <t>Grave Robber
One-Two Punch
Cascade Point</t>
  </si>
  <si>
    <t>Chaos Reshaped
Trench Barrel
Elemental Honing</t>
  </si>
  <si>
    <t>BiS kinetic pellet dump and 1 mag melee-based damage</t>
  </si>
  <si>
    <t>IKELOS_SG_v1.0.3</t>
  </si>
  <si>
    <t>excellent perks for 12P and roam</t>
  </si>
  <si>
    <t>Appended Mag</t>
  </si>
  <si>
    <t>Fourth Time's the Charm
Dual Loader
Grave Robber</t>
  </si>
  <si>
    <t>Aggregate Charge
Precision Instrument
Surrounded</t>
  </si>
  <si>
    <t>niche legendary shotgun dump roll</t>
  </si>
  <si>
    <t>Cascade Point
Surrounded
Vorpal Weapon</t>
  </si>
  <si>
    <t>legendary Horseman-esque burst, uncommon</t>
  </si>
  <si>
    <t>All-Star</t>
  </si>
  <si>
    <t>carried by a single roll, not bad though</t>
  </si>
  <si>
    <r>
      <rPr>
        <rFont val="Arial"/>
        <color theme="1"/>
      </rPr>
      <t xml:space="preserve">A Sudden Death
</t>
    </r>
    <r>
      <rPr>
        <rFont val="Arial"/>
        <i/>
        <color theme="1"/>
      </rPr>
      <t>RotN version</t>
    </r>
  </si>
  <si>
    <t>Discord
One-Two Punch</t>
  </si>
  <si>
    <t>Trench Barrel
Redirection</t>
  </si>
  <si>
    <t>decent roam potential + double damage option</t>
  </si>
  <si>
    <t>Trench Barrel
Surrounded</t>
  </si>
  <si>
    <t>go-to QoL Trench aggressive</t>
  </si>
  <si>
    <t>Appended Mag
Ricochet Rounds</t>
  </si>
  <si>
    <t>Bait and Switch
Withering Gaze</t>
  </si>
  <si>
    <t>probably BiS close range Withering special</t>
  </si>
  <si>
    <t>Reconstruction
Lead from Gold
Rewind Rounds</t>
  </si>
  <si>
    <t>One-Two Punch
Trench Barrel
Aggregate Charge</t>
  </si>
  <si>
    <t>very odd perk pool that can't really decide on what it wants</t>
  </si>
  <si>
    <t>Demolitionist
Slice</t>
  </si>
  <si>
    <t>One-Two Punch
Chaos Reshaped</t>
  </si>
  <si>
    <t>highest QoL lightweight 12P option, has Sever option too</t>
  </si>
  <si>
    <t>Grave Robber
Auto-Loading Holster
Lead from Gold</t>
  </si>
  <si>
    <t>One-Two Punch
Vorpal Weapon
Demolitionist</t>
  </si>
  <si>
    <t>enhanceable Grave 12P lightweight</t>
  </si>
  <si>
    <t>One-Two Punch
Reconstruction
Discord</t>
  </si>
  <si>
    <t>Trench Barrel
Destabilizing Rounds</t>
  </si>
  <si>
    <t>interesting Discord option, still has double melee perk combo</t>
  </si>
  <si>
    <t>Discord
Heal Clip
Disruption Break</t>
  </si>
  <si>
    <t>Incandescent
Chain Reaction
Trench Barrel</t>
  </si>
  <si>
    <t>probably best Discord shotgun, okay origin</t>
  </si>
  <si>
    <t>One-Two Punch
Lead from Gold</t>
  </si>
  <si>
    <t>Recombination
Cascade Point
Vorpal Weapon</t>
  </si>
  <si>
    <t>double damage 12P, otherwise unremarkable</t>
  </si>
  <si>
    <t>Lead from Gold
Pugilist</t>
  </si>
  <si>
    <t>One-Two Punch
Vorpal Weapon</t>
  </si>
  <si>
    <t>Swordbreaker alternative, mostly unused</t>
  </si>
  <si>
    <t>Repulsor Brace
Slideshot</t>
  </si>
  <si>
    <t>Destabilizing Rounds
Withering Gaze
One-Two Punch</t>
  </si>
  <si>
    <t>another pellet Withering Gaze option, otherwise not very good</t>
  </si>
  <si>
    <t>Python</t>
  </si>
  <si>
    <t>Overflow
Dimensional Shift
Repulsor Brace</t>
  </si>
  <si>
    <t>Withering Gaze
Destabilizing Rounds
One-Two Punch</t>
  </si>
  <si>
    <t>pellet-based Withering Gaze, otherwise not great</t>
  </si>
  <si>
    <t>Auto-Loading Holster
Discord
Lead from Gold</t>
  </si>
  <si>
    <t>One-Two Punch
Trench Barrel
Collective Demolition</t>
  </si>
  <si>
    <t>bad Discord pairings, maybe good with Collective</t>
  </si>
  <si>
    <t>One-Two Punch
Frenzy
Surrounded</t>
  </si>
  <si>
    <t>no enhanced 12P but solid perk diversity</t>
  </si>
  <si>
    <t>Grave Robber
Dual Loader</t>
  </si>
  <si>
    <t>mediocre archetype but relevant perks</t>
  </si>
  <si>
    <t>Reconstruction
Envious Arsenal
Pugilist</t>
  </si>
  <si>
    <t>One-Two Punch
Trench Barrel
Cascade Point</t>
  </si>
  <si>
    <t>Grave Robber
Discord</t>
  </si>
  <si>
    <t>One-Two Punch
Cascade Point</t>
  </si>
  <si>
    <t>bad frame, but enhanceable Grave + 12P</t>
  </si>
  <si>
    <t>One-Two Punch
Reconstruction</t>
  </si>
  <si>
    <t>Vorpal Weapon
Discord</t>
  </si>
  <si>
    <t>double damage 12P, bad frame but funny ranged 12P interaction</t>
  </si>
  <si>
    <t>Grave Robber
Lead from Gold
Heal Clip</t>
  </si>
  <si>
    <t>One-Two Punch
Trench Barrel
Discord</t>
  </si>
  <si>
    <t>no splash to pair with Discord, awkward frame from melee</t>
  </si>
  <si>
    <t>Threat Detector
Field Prep</t>
  </si>
  <si>
    <t>high stats 1 mag 12P, also swap option</t>
  </si>
  <si>
    <t>Supercluster</t>
  </si>
  <si>
    <t>Reconstruction
Fourth Time's the Charm</t>
  </si>
  <si>
    <t>Vorpal Weapon
Surrounded
Cascade Point</t>
  </si>
  <si>
    <t>best dump/swap kinetic slug</t>
  </si>
  <si>
    <t>Trench Barrel
Chain Reaction
Crystalline Corpsebloom</t>
  </si>
  <si>
    <t>A Sudden Death roll with some splash in 2nd column, bad frame</t>
  </si>
  <si>
    <t>Reconstruction
Fourth Time's the Charm
Demolitionist</t>
  </si>
  <si>
    <t>Frenzy
Vorpal Weapon
Focused Fury</t>
  </si>
  <si>
    <t>worse Unvoiced but still okay for swaps</t>
  </si>
  <si>
    <t xml:space="preserve">Fourth Time's the Charm
Demolitionist
Threat Detector
</t>
  </si>
  <si>
    <t>Vorpal Weapon
Frenzy
Surrounded</t>
  </si>
  <si>
    <t>decent dump slug</t>
  </si>
  <si>
    <t>Rapid Slug</t>
  </si>
  <si>
    <t>Lead from Gold
Rapid Hit</t>
  </si>
  <si>
    <t>Chill Clip
Precision Instrument</t>
  </si>
  <si>
    <t>awkward archetype but Chill Clip niche</t>
  </si>
  <si>
    <t>high QoL Chill Clip option but pretty niche</t>
  </si>
  <si>
    <t>Shot Package</t>
  </si>
  <si>
    <t>Cascade Point
Heal Clip</t>
  </si>
  <si>
    <t>Trench Barrel
Bait and Switch</t>
  </si>
  <si>
    <t>Cascade + damage aggressive, good origin</t>
  </si>
  <si>
    <t>Triple Tap
Butterfly
Repulsor Brace</t>
  </si>
  <si>
    <t>Precision Instrument
Meganeura
Destabilizing Rounds</t>
  </si>
  <si>
    <t>no FTTC, mediocre damage perks, no Discord support</t>
  </si>
  <si>
    <t>Discord
Auto-Loading Holster
Heal Clip</t>
  </si>
  <si>
    <t>only Discord slug</t>
  </si>
  <si>
    <t>Quickdraw
Slickdraw
Auto-Loading Holster</t>
  </si>
  <si>
    <t>Frenzy
Vorpal Weapon
Trench Barrel</t>
  </si>
  <si>
    <t>solid for lightweight swaps but irrelevant</t>
  </si>
  <si>
    <t>Discord
Slickdraw</t>
  </si>
  <si>
    <t>Chain Reaction
Voltshot
Vorpal Weapon</t>
  </si>
  <si>
    <t>interesting roam option, but niche</t>
  </si>
  <si>
    <t>Surplus
Overflow
Discord</t>
  </si>
  <si>
    <t>Trench Barrel
Frenzy</t>
  </si>
  <si>
    <t>barebones Trench aggressive</t>
  </si>
  <si>
    <t>Auto-Loading Holster
Heal Clip
Deconstruct</t>
  </si>
  <si>
    <t>Vorpal Weapon
Cascade Point
Incandescent</t>
  </si>
  <si>
    <t>decent for slug swaps, no FTTC</t>
  </si>
  <si>
    <t>Ensemble
Lead from Gold</t>
  </si>
  <si>
    <t>Trench Barrel
Vorpal Weapon</t>
  </si>
  <si>
    <t>Trench Barrel
Cascade Point</t>
  </si>
  <si>
    <t>Frenzy
One-Two Punch</t>
  </si>
  <si>
    <t>usable for 12P but awful QoL</t>
  </si>
  <si>
    <t>Vorpal Weapon
One-Two Punch</t>
  </si>
  <si>
    <t>bad 12P frame and no Trench</t>
  </si>
  <si>
    <t>Trench Barrel
All-Star</t>
  </si>
  <si>
    <t>bad frame for Trench, has Grave though</t>
  </si>
  <si>
    <t>carried by 12P, awful otherwise</t>
  </si>
  <si>
    <t>Slickdraw
Discord</t>
  </si>
  <si>
    <t>swap-exclusive lightweight</t>
  </si>
  <si>
    <t>Vorpal Weapon
Surrounded
Demolitionist</t>
  </si>
  <si>
    <t>outdated swap option</t>
  </si>
  <si>
    <r>
      <rPr>
        <rFont val="Arial"/>
        <color theme="1"/>
        <sz val="9.0"/>
      </rPr>
      <t xml:space="preserve">Destabilizing Rounds
</t>
    </r>
    <r>
      <rPr>
        <rFont val="Arial"/>
        <color rgb="FF181A1B"/>
        <sz val="9.0"/>
      </rPr>
      <t>Surrounded
Frenzy</t>
    </r>
  </si>
  <si>
    <t>Discord on worst frame + okay perks</t>
  </si>
  <si>
    <t>Lead from Gold
Stopping Power</t>
  </si>
  <si>
    <t>very outdated PvE perks</t>
  </si>
  <si>
    <t>Extended Mag
Ricochet Rounds</t>
  </si>
  <si>
    <t>Incandescent
Precision Instrument
Cascade Point</t>
  </si>
  <si>
    <t>no loader perk in 1st column, weird 2nd column to match</t>
  </si>
  <si>
    <t>Surrounded
Focused Fury</t>
  </si>
  <si>
    <t>entirely irrelevant slug perks</t>
  </si>
  <si>
    <t>Cascade Point
Vorpal Weapon</t>
  </si>
  <si>
    <t>downgrade from previous version, awful perk pool</t>
  </si>
  <si>
    <t>no damage perk but good frame</t>
  </si>
  <si>
    <t>no damage perk but okay frame</t>
  </si>
  <si>
    <t>The Helmsman</t>
  </si>
  <si>
    <t>Extended Mag</t>
  </si>
  <si>
    <t>Explosive Payload
Discord</t>
  </si>
  <si>
    <t>Elemental Honing
Gear Shift</t>
  </si>
  <si>
    <t>NEED TESTING</t>
  </si>
  <si>
    <t>Aggregate Charge
Fourth Time's the Charm
Kinetic Tremors</t>
  </si>
  <si>
    <t>Elemental Honing
Bait and Switch
Firefly</t>
  </si>
  <si>
    <t>insane origin synergy with FTTC and BiS perks all around</t>
  </si>
  <si>
    <t>Ionized Heatsink
Overclocked Heatsink</t>
  </si>
  <si>
    <t>double perk fast vent style burst sniper, no ammo gen perk though</t>
  </si>
  <si>
    <t>Fourth Time's the Charm
Envious Arsenal
Lead from Gold</t>
  </si>
  <si>
    <t>Bait and Switch
Elemental Honing
Redirection</t>
  </si>
  <si>
    <t>similar to Praedyth's but more burst-specialized, less applicable</t>
  </si>
  <si>
    <t>Rapid Growth</t>
  </si>
  <si>
    <t>Aggregate Charge
Gear Shift</t>
  </si>
  <si>
    <t>BiS energy dump sniper</t>
  </si>
  <si>
    <t>solar alternative to Rapid Growth</t>
  </si>
  <si>
    <t>Triple Tap
Discord</t>
  </si>
  <si>
    <t>Elemental Honing
All-Star
Adhesive Ordnance</t>
  </si>
  <si>
    <t>better than Succession due to Accelerated Assault</t>
  </si>
  <si>
    <t>only held back by frame, 2nd column could be a little more diverse</t>
  </si>
  <si>
    <t>Rewind Rounds
Lead from Gold
Discord</t>
  </si>
  <si>
    <t>Kinetic Tremors
Bait and Switch
Fourth Time's the Charm</t>
  </si>
  <si>
    <t>worse than S tier snipers in every way, Lead + KT unique</t>
  </si>
  <si>
    <t>Chill Clip
Rewind Rounds
Crystalline Corpsebloom</t>
  </si>
  <si>
    <t>Chaos Reshaped
Mega Kill Clip
Elemental Honing</t>
  </si>
  <si>
    <t>Chill Clip provides 2 shot burst like Recomb, bit more unwieldy</t>
  </si>
  <si>
    <t>ALLEN 05</t>
  </si>
  <si>
    <t>Precision Instrument
Firing Line
Mega Kill Clip</t>
  </si>
  <si>
    <t>FTTC + good damage perk, but still adaptive and could have better 2nd</t>
  </si>
  <si>
    <t>Triple Tap
Shoot to Loot
Lead from Gold</t>
  </si>
  <si>
    <t>craftable Withering sniper is nice, otherwise TT instead of FTTC</t>
  </si>
  <si>
    <t>Envious Arsenal
Incandescent
Triple Tap</t>
  </si>
  <si>
    <t>Bait and Switch
Elemental Honing
Fourth Time's the Charm</t>
  </si>
  <si>
    <t>funny TT+FTTC roll but otherwise just alright for damage</t>
  </si>
  <si>
    <t>Trophy Hunter</t>
  </si>
  <si>
    <t>Triple Tap
Lead from Gold
Auto-Loading Holster</t>
  </si>
  <si>
    <t>Aggregate Charge
Withering Gaze
Bait and Switch</t>
  </si>
  <si>
    <t>probably best Withering sniper, otherwise decent for damage</t>
  </si>
  <si>
    <t>FTTC + very consistent 20% perk on good frame</t>
  </si>
  <si>
    <r>
      <rPr>
        <rFont val="Arial"/>
        <color theme="1"/>
      </rPr>
      <t xml:space="preserve">Succession
</t>
    </r>
    <r>
      <rPr>
        <rFont val="Arial"/>
        <i/>
        <color theme="1"/>
      </rPr>
      <t>BRAVE version</t>
    </r>
  </si>
  <si>
    <t>Reconstruction
Demolitionist
Kinetic Tremors</t>
  </si>
  <si>
    <t>Recombination
Aggregate Charge
Mega Kill Clip</t>
  </si>
  <si>
    <t>best Demo grenade gen in the game, otherwise no ammo regen</t>
  </si>
  <si>
    <t>Reconstruction
Demolitionist
Discord</t>
  </si>
  <si>
    <t>Elemental Honing
Recombination
Redirection</t>
  </si>
  <si>
    <t>doesn't compete against rapids, Discord roll is okay</t>
  </si>
  <si>
    <t>Air Trigger
Slickdraw</t>
  </si>
  <si>
    <t>situational special ranged debuff extension option</t>
  </si>
  <si>
    <t>Demolitionist
Explosive Payload</t>
  </si>
  <si>
    <t>worse frame for per-shot Withering Gaze damage</t>
  </si>
  <si>
    <t>Fourth Time's the Charm
Shoot to Loot</t>
  </si>
  <si>
    <t>Focused Fury
Firing Line</t>
  </si>
  <si>
    <t>FTTC + okay 20% perk, very overshadowed by other options in-slot</t>
  </si>
  <si>
    <t>Triple Tap
Rewind Rounds</t>
  </si>
  <si>
    <t>Aggregate Charge
Elemental Honing
Precision Instrument</t>
  </si>
  <si>
    <t>no FTTC and okay frame, good origin and damage perks</t>
  </si>
  <si>
    <t>Triple Tap
Shoot to Loot
Explosive Payload</t>
  </si>
  <si>
    <t>Precision Instrument
High Ground
Destabilizing Rounds</t>
  </si>
  <si>
    <t>worse consistency vs. Father's Sins but utility rolls</t>
  </si>
  <si>
    <t>Alone as a god</t>
  </si>
  <si>
    <t>Rewind Rounds
Stopping Power</t>
  </si>
  <si>
    <t>Aggregate Charge
Kinetic Tremors
All-Star</t>
  </si>
  <si>
    <t>has new perks but terrible selection</t>
  </si>
  <si>
    <t>TT but consistent damage perk rapid</t>
  </si>
  <si>
    <t>Clown Cartridge
Lead from Gold</t>
  </si>
  <si>
    <t>good frame and okay 20% perk but no FTTC</t>
  </si>
  <si>
    <t>Fourth Time's the Charm
Discord
Attrition Orbs</t>
  </si>
  <si>
    <t>Precision Instrument
Deconstruct
Vorpal Weapon</t>
  </si>
  <si>
    <t>FTTC + consistent damage perks but bad frame</t>
  </si>
  <si>
    <t>Vorpal Weapon
Withering Gaze</t>
  </si>
  <si>
    <t xml:space="preserve">Redirection
Fourth Time's the Charm
Aggregate Charge
</t>
  </si>
  <si>
    <t>very weird perk combos, has Withering access</t>
  </si>
  <si>
    <t>Fourth Time's the Charm
Auto-Loading Holster
Lead from Gold</t>
  </si>
  <si>
    <t>Firing Line
Vorpal Weapon</t>
  </si>
  <si>
    <t>Triple Tap
Demolitionist
Rewind Rounds</t>
  </si>
  <si>
    <t>Aggregate Charge
Kinetic Tremors</t>
  </si>
  <si>
    <t>no FTTC and worst frame but otherwise not terrible</t>
  </si>
  <si>
    <t>Shoot to Loot
Lead from Gold</t>
  </si>
  <si>
    <t>first energy slot StL + EP sniper</t>
  </si>
  <si>
    <t>Naeem's Lance</t>
  </si>
  <si>
    <t>Rewind Rounds
Deconstruct</t>
  </si>
  <si>
    <t xml:space="preserve">Elemental Honing
Cascade Point
Mega Kill Clip
</t>
  </si>
  <si>
    <t>no ammo gen, maybe niche for vehicle stuff</t>
  </si>
  <si>
    <t>Lead from Gold
Shoot to Loot
Rewind Rounds</t>
  </si>
  <si>
    <t>Aggregate Charge
All-Star</t>
  </si>
  <si>
    <t>bad 1st column, otherwise good origin and 2nd column</t>
  </si>
  <si>
    <t>Bait and Switch
Precision Instrument</t>
  </si>
  <si>
    <t>good origin, just no ammo gen perk</t>
  </si>
  <si>
    <t>Rewind Rounds
Discord</t>
  </si>
  <si>
    <t>Bait and Switch
Precision Instrument
Incandescent</t>
  </si>
  <si>
    <t>one of the best Discord snipers, otherwise no ammo gen perk</t>
  </si>
  <si>
    <t>Tatara Gaze</t>
  </si>
  <si>
    <t>Discord
Overflow
Rewind Rounds</t>
  </si>
  <si>
    <t>Redirection
Mega Kill Clip
Elemental Honing</t>
  </si>
  <si>
    <t>decent Succession-like Discord option, otherwise unremarkable</t>
  </si>
  <si>
    <t>All-Star
Kinetic Tremors
Elemental Honing</t>
  </si>
  <si>
    <t>loader perk + okay damage perk adaptive</t>
  </si>
  <si>
    <t>Triple Tap
Lead from Gold</t>
  </si>
  <si>
    <t>Vorpal Weapon
Cascade Point</t>
  </si>
  <si>
    <t>TT + bad damage perks</t>
  </si>
  <si>
    <t>Overflow
Discord</t>
  </si>
  <si>
    <t>Firing Line
High Ground</t>
  </si>
  <si>
    <t>overflow perk + okay damage perk adaptive</t>
  </si>
  <si>
    <t>Envious Assassin
Shoot to Loot</t>
  </si>
  <si>
    <t>Cascade Point
Firing Line
Explosive Payload</t>
  </si>
  <si>
    <t>okay perks + only StL EP kinetic special</t>
  </si>
  <si>
    <t>Firing Line
Focused Fury</t>
  </si>
  <si>
    <t>Locus but Fury instead of High Ground</t>
  </si>
  <si>
    <t>Firing Line
Frenzy</t>
  </si>
  <si>
    <t>overflow perk + okay damage perk aggresive</t>
  </si>
  <si>
    <t>Triple Tap
Demolitionist</t>
  </si>
  <si>
    <t>TT on bad archetype, fine damage perks</t>
  </si>
  <si>
    <t>Firing Line
Focused Fury
Demolitionist</t>
  </si>
  <si>
    <t>Firing Line
High Ground
Cascade Point</t>
  </si>
  <si>
    <t>overflow perk + okay damage perk aggressive</t>
  </si>
  <si>
    <t>Frenzy
Demolitionist</t>
  </si>
  <si>
    <t>Cascade Point
Firing Line</t>
  </si>
  <si>
    <t>Box Breathing
Incandescent</t>
  </si>
  <si>
    <t>FTTC but awful second column</t>
  </si>
  <si>
    <t>High Ground
Destabilizing Rounds
Triple Tap</t>
  </si>
  <si>
    <t>only High Ground and no overflow/ammo regen</t>
  </si>
  <si>
    <t>Vorpal Weapon
Bait and Switch</t>
  </si>
  <si>
    <t>Discord + okay damage perk adaptive</t>
  </si>
  <si>
    <t>Overflow
Shoot to Loot</t>
  </si>
  <si>
    <t>Focused Fury
Snapshot Sights</t>
  </si>
  <si>
    <t>Elemental Honing
Mega Kill Clip</t>
  </si>
  <si>
    <t>no ammo gen perk, only really has Honing</t>
  </si>
  <si>
    <t>Discord
Vorpal Weapon</t>
  </si>
  <si>
    <t>Redirection
Demoralize</t>
  </si>
  <si>
    <t>no ammo gen perk, niche damage options</t>
  </si>
  <si>
    <t>Firing Line
Frenzy
Demolitionist</t>
  </si>
  <si>
    <t>Lead + okay damage perk adaptive</t>
  </si>
  <si>
    <t>good archetype but no damage perk</t>
  </si>
  <si>
    <t>ATC Rex</t>
  </si>
  <si>
    <t>TT but no usable damage perk</t>
  </si>
  <si>
    <t>splash perk</t>
  </si>
  <si>
    <t>Auto-Loading Holster, Impulse Amplifier, Replenishing Aegis</t>
  </si>
  <si>
    <t>Frenzy, Unstoppable Force, Close to Melee</t>
  </si>
  <si>
    <t>Impulse Amplifier, Replenishing Aegis</t>
  </si>
  <si>
    <t>Close to Melee, Unstoppable Force</t>
  </si>
  <si>
    <t>Impulse Amplifier, Grave Robber</t>
  </si>
  <si>
    <t>Frenzy, Unstoppable Force</t>
  </si>
  <si>
    <t>Impulse Amplifier</t>
  </si>
  <si>
    <t>Immovable Object, Demolitionist, Pugilist</t>
  </si>
  <si>
    <t>Immovable Object, Unrelenting</t>
  </si>
  <si>
    <t>Fourth Time's the Charm, Reconstruction, Subsistence</t>
  </si>
  <si>
    <t>Dragonfly, Repulsor Brace</t>
  </si>
  <si>
    <t>Rampage, Firing Line, Killing Tally</t>
  </si>
  <si>
    <t>Rewind Rounds, Reconstruction</t>
  </si>
  <si>
    <t>Demolitionist, Voltshot</t>
  </si>
  <si>
    <t>Cascade Point, Sword Logic, Bait and Switch, Target Lock</t>
  </si>
  <si>
    <t>Auto-Loading Holster, Field Prep, Subsistence</t>
  </si>
  <si>
    <t>Firing Line, Killing Tally, Cascade Point</t>
  </si>
  <si>
    <t>Demolitionist, Voltshot, Dragonfly</t>
  </si>
  <si>
    <t>Adrenaline Junkie, Target Lock, Cascade Point</t>
  </si>
  <si>
    <t>Auto-Loading Holster, Subsistence</t>
  </si>
  <si>
    <t>Swashbuckler, Adrenaline Junkie, Target Lock, Cascade Point</t>
  </si>
  <si>
    <t>Rewind Rounds, Subsistence</t>
  </si>
  <si>
    <t>Demolitionist, Firefly</t>
  </si>
  <si>
    <t>Adrenaline Junkie, One for All</t>
  </si>
  <si>
    <t>Destabilizing Rounds, Dragonfly</t>
  </si>
  <si>
    <t>Target Lock, Frenzy, Firing Line, Rampage, Adrenaline Junkie, Cascade Point</t>
  </si>
  <si>
    <t>A Fine Memorial</t>
  </si>
  <si>
    <t>Auto-Loading Holster, Subsistence, Field Prep</t>
  </si>
  <si>
    <t>Adrenaline Junkie, Frenzy, One for All</t>
  </si>
  <si>
    <t>Hatchling, Demolitionist</t>
  </si>
  <si>
    <t>Target Lock, Golden Tricorn</t>
  </si>
  <si>
    <t>Field Prep, Fourth Time's the Charm</t>
  </si>
  <si>
    <t>Frenzy, Rampage, Golden Tricorn, One for All, Target Lock</t>
  </si>
  <si>
    <t>Firing Line, Rampage, Killing Tally</t>
  </si>
  <si>
    <t>Field Prep, Auto-Loading Holster</t>
  </si>
  <si>
    <t>Rampage, Adrenaline Junkie, Surrounded</t>
  </si>
  <si>
    <t>Field Prep, Subsistence</t>
  </si>
  <si>
    <t>Firing Line, One for All, Frenzy</t>
  </si>
  <si>
    <t>Demolitionist, Dragonfly</t>
  </si>
  <si>
    <t>Firefly, Headstone</t>
  </si>
  <si>
    <t>Firing Line, Killing Tally</t>
  </si>
  <si>
    <t>Auto-Loading Holster, Field Prep</t>
  </si>
  <si>
    <t>Target Lock, Golden Tricorn, Dragonfly</t>
  </si>
  <si>
    <t>Adrenaline Junkie, Golden Tricorn, Target Lock</t>
  </si>
  <si>
    <t>One for All, Swashbuckler</t>
  </si>
  <si>
    <t>Envious Assassin, Field Prep, Auto-Loading Holster, Demolitionist</t>
  </si>
  <si>
    <t>Bait and Switch, Explosive Light, Cascade Point, Full Court, Vorpal Weapon</t>
  </si>
  <si>
    <t>Auto-Loading Holster, Field Prep, Clown Cartridge</t>
  </si>
  <si>
    <t>Explosive Light, Frenzy, Full Court, Cascade Point</t>
  </si>
  <si>
    <t>Field Prep, Envious Assassin</t>
  </si>
  <si>
    <t>Vorpal Weapon, Explosive Light, Cascade Point, Full Court</t>
  </si>
  <si>
    <t>Envious Assassin, Auto-Loading Holster</t>
  </si>
  <si>
    <t>Cascade Point, Explosive Light</t>
  </si>
  <si>
    <t>Field Prep, Envious Assassin, Reconstruction, Demolitionist</t>
  </si>
  <si>
    <t>Frenzy, Surrounded, Full Court</t>
  </si>
  <si>
    <t>Clown Cartridge, Field Prep, Auto-Loading Holster, Demolitionist</t>
  </si>
  <si>
    <t>Cascade Point, Full Court</t>
  </si>
  <si>
    <t>Envious Assassin, Field Prep</t>
  </si>
  <si>
    <t>Explosive Light, Frenzy</t>
  </si>
  <si>
    <t>Field Prep, Clown Cartridge</t>
  </si>
  <si>
    <t>Bequest</t>
  </si>
  <si>
    <t>Surrounded, Vorpal Weapon</t>
  </si>
  <si>
    <t>Whirlwind Blade, Surrounded</t>
  </si>
  <si>
    <t>Surrounded, Whirlwind Blade</t>
  </si>
  <si>
    <t>Vorpal Weapon, Whirlwind Blade, Surrounded</t>
  </si>
  <si>
    <t>Frenzy, Whirlwind Blade, Vorpal Weapon</t>
  </si>
  <si>
    <t>Vorpal Weapon, Surrounded, Whirlwind Blade</t>
  </si>
  <si>
    <t>Death's Razor</t>
  </si>
  <si>
    <t>Surrounded, Vorpal Weapon, Whirlwind Blade</t>
  </si>
  <si>
    <t>Quick Launch
Volatile Launch</t>
  </si>
  <si>
    <t>Flared Magwell</t>
  </si>
  <si>
    <t>Repulsor Brace
Dimensional Shift
Air Trigger</t>
  </si>
  <si>
    <t>Destabilizing Rounds
Withering Gaze
Surrounded</t>
  </si>
  <si>
    <t>best elemental perk combo, some other utility options as well</t>
  </si>
  <si>
    <t>Tactical Mag
High-Explosive Ordnance
Flared Magwell</t>
  </si>
  <si>
    <t>Heal Clip
Lead from Gold
Impromptu Ammunition</t>
  </si>
  <si>
    <t>Incandescent
Redirection
Desperate Measures</t>
  </si>
  <si>
    <t>excellent perks all around with solid origin</t>
  </si>
  <si>
    <t>Lead from Gold
Stopping Power
Blast Distributor</t>
  </si>
  <si>
    <t>Kinetic Tremors
All-Star
Recombination</t>
  </si>
  <si>
    <t>Ancillary Ordinance also good, very solid perk spread</t>
  </si>
  <si>
    <t>High-Explosive Ordnance</t>
  </si>
  <si>
    <t>Heal Clip
Field Prep</t>
  </si>
  <si>
    <t>Incandescent
Demolitionist</t>
  </si>
  <si>
    <t>better origin than Returned but worse alternative perks</t>
  </si>
  <si>
    <t>Slice
Lead from Gold
Impulse Amplifier</t>
  </si>
  <si>
    <t>only Slice rocket sidearm, good origin and utility perks</t>
  </si>
  <si>
    <t>Air Trigger
Impulse Amplifier
Loose Change</t>
  </si>
  <si>
    <t>great ammo generator, solid perks and decent origin</t>
  </si>
  <si>
    <t>Indebted Kindness</t>
  </si>
  <si>
    <t>Air Trigger
Beacon Rounds
Deconstruct</t>
  </si>
  <si>
    <t>Voltshot
Chain Reaction
Gear Shift</t>
  </si>
  <si>
    <t>good Voltshot user, Lead also appreciated, situational origin</t>
  </si>
  <si>
    <t>Lead from Gold
Impulse Amplifier
Beacon Rounds</t>
  </si>
  <si>
    <t>Jolting Feedback
Rolling Storm
Master of Arms</t>
  </si>
  <si>
    <t>worse than Indebted besides enhanceable perks</t>
  </si>
  <si>
    <t>Enhanced Battery</t>
  </si>
  <si>
    <t>Shoot to Loot
Tear
Collective Pugilism</t>
  </si>
  <si>
    <t>Chaos Reshaped
Detonator Beam
Hatchling</t>
  </si>
  <si>
    <t>probably as good as it gets for the kinetic slot, perks + origin excellent</t>
  </si>
  <si>
    <t>Shoot to Loot
Repulsor Brace</t>
  </si>
  <si>
    <t>Destabilizing Rounds
Demolitionist
Desperate Measures</t>
  </si>
  <si>
    <t>StL + utility/splash options, great origin trait for low-tier content</t>
  </si>
  <si>
    <t>StL + Chain best overall trace roll, also FTTC + TL for "damage"</t>
  </si>
  <si>
    <t>Demolitionist
Frenzy
Incandescent</t>
  </si>
  <si>
    <t>overshadowed by Chronophage, still decent perks</t>
  </si>
  <si>
    <t>Acasia's Dejection</t>
  </si>
  <si>
    <t>Burning Ambition
Reconstruction
Field Prep</t>
  </si>
  <si>
    <t>Chaos Reshaped
Incandescent
Detonator Beam</t>
  </si>
  <si>
    <t>best non-StL trace in the game</t>
  </si>
  <si>
    <t>Path of Least Resistance</t>
  </si>
  <si>
    <t>feels excellent but objectively worse than Chronophage</t>
  </si>
  <si>
    <t>Incisor</t>
  </si>
  <si>
    <t>Attrition Orbs
Hatchling</t>
  </si>
  <si>
    <t>only Slice trace, usable in niche endgame scenarios</t>
  </si>
  <si>
    <t>Deconstruct
Demolitionist
Rimestealer</t>
  </si>
  <si>
    <t xml:space="preserve">Crystalline Corpsebloom
Detonator Beam
Headstone
</t>
  </si>
  <si>
    <t>best Stasis synergy trace, not much utility otherwise</t>
  </si>
  <si>
    <t>Hollow Denial</t>
  </si>
  <si>
    <t>only Lead trace, otherwise not very good</t>
  </si>
  <si>
    <t>Rewind Rounds
Loose Change</t>
  </si>
  <si>
    <t>Detonator Beam
Jolting Feedback
Desperate Measures</t>
  </si>
  <si>
    <t>same issues as Keraunios, slightly better origin and worse perks</t>
  </si>
  <si>
    <t>Appetence</t>
  </si>
  <si>
    <t>Demolitionist
Overflow</t>
  </si>
  <si>
    <t>Headstone
Deconstruct
Attrition Orbs</t>
  </si>
  <si>
    <t>Headstone not bad on traces, but nothing special</t>
  </si>
  <si>
    <t>Envious Arsenal
Wellspring</t>
  </si>
  <si>
    <t>Detonator Beam
Tear
Redirection</t>
  </si>
  <si>
    <t>okay splash/utility perks, mediocre otherwise</t>
  </si>
  <si>
    <t>Envious Arsenal
Cascade Point
Chill Clip</t>
  </si>
  <si>
    <t>Aggregate Charge
Elemental Honing
Surrounded</t>
  </si>
  <si>
    <t>almost every possible BiS perk on a heavy GL, origin decent too</t>
  </si>
  <si>
    <r>
      <rPr>
        <rFont val="Arial"/>
        <color theme="1"/>
      </rPr>
      <t xml:space="preserve">Edge Transit
</t>
    </r>
    <r>
      <rPr>
        <rFont val="Arial"/>
        <i/>
        <color theme="1"/>
      </rPr>
      <t>BRAVE version</t>
    </r>
  </si>
  <si>
    <t>Spike Grenades
Sticky Grenades</t>
  </si>
  <si>
    <t>Envious Arsenal
Cascade Point
Chain Reaction</t>
  </si>
  <si>
    <t>Elemental Honing
Explosive Light
Bait and Switch</t>
  </si>
  <si>
    <t>has sticky + EL access, also Cascade</t>
  </si>
  <si>
    <t>Spike Grenades
Mini Frags</t>
  </si>
  <si>
    <t>Aggregate Charge
Bait and Switch
Elemental Honing</t>
  </si>
  <si>
    <t>best non-Cascade + damage perk rapid HGL option</t>
  </si>
  <si>
    <t>Envious Arsenal
Chain Reaction</t>
  </si>
  <si>
    <t>Bait and Switch
Chaos Reshaped
Surrounded</t>
  </si>
  <si>
    <t>solid overall dump GL, not really missing anything</t>
  </si>
  <si>
    <t>Envious Arsenal
Incandescent</t>
  </si>
  <si>
    <t>Bait and Switch
Explosive Light
Chain Reaction</t>
  </si>
  <si>
    <t>free exhaust origin + solid damage perks + good archetype</t>
  </si>
  <si>
    <t>Envious Arsenal
Cascade Point
Impromptu Ammunition</t>
  </si>
  <si>
    <t>Aggregate Charge
Elemental Honing
Chain Reaction</t>
  </si>
  <si>
    <t>great staple perk pool, alt perks for add clear</t>
  </si>
  <si>
    <t>Reconstruction
Incandescent
Rampage</t>
  </si>
  <si>
    <t>Aggregate Charge
Bait and Switch
Chain Reaction</t>
  </si>
  <si>
    <t>no Envious but has good add clear options for speedrunning stuff</t>
  </si>
  <si>
    <t>Doomsday</t>
  </si>
  <si>
    <t>very similar to other top of A adaptives</t>
  </si>
  <si>
    <t>Bait and Switch
Cascade Point
Explosive Light</t>
  </si>
  <si>
    <t>classic Envious/Bait adaptive combo</t>
  </si>
  <si>
    <t>Envious Arsenal
Auto-Loading Holster</t>
  </si>
  <si>
    <t>run of the mill Envious/BnS adaptive</t>
  </si>
  <si>
    <t>Envious Arsenal
Field Prep</t>
  </si>
  <si>
    <t>Bait and Switch
Crystalline Corpsebloom
Chain Reaction</t>
  </si>
  <si>
    <t>good add clear swap option that has similar damage roll to A adaptives</t>
  </si>
  <si>
    <t>Envious Assassin
Clown Cartridge</t>
  </si>
  <si>
    <t>outdated reload perks, only Bait for damage</t>
  </si>
  <si>
    <t xml:space="preserve">Field Prep
Demolitionist
Voltshot
</t>
  </si>
  <si>
    <t>Chain Reaction
One for All
Rolling Storm</t>
  </si>
  <si>
    <t>solid ammo generation perks, underrated add clear archetype</t>
  </si>
  <si>
    <t>Envious Assassin
Auto-Loading Holster</t>
  </si>
  <si>
    <t>Cascade Point
Explosive Light</t>
  </si>
  <si>
    <t>one of two sticky EL heavy GLs, otherwise unremarkable</t>
  </si>
  <si>
    <t>Clown Cartridge
Withering Gaze</t>
  </si>
  <si>
    <t>no really solid DPS reload perk but good otherwise</t>
  </si>
  <si>
    <t>Cascade Point
Full Court</t>
  </si>
  <si>
    <t>irrelevant due to Cascade in wrong column and no good damage perk</t>
  </si>
  <si>
    <t>Auto-Loading Holster
Chain Reaction</t>
  </si>
  <si>
    <t>okay for burst but completely outdated</t>
  </si>
  <si>
    <t>Incandescent
Blast Distributor
Demolitionist</t>
  </si>
  <si>
    <t>Aggregate Charge
Mega Kill Clip
Surrounded</t>
  </si>
  <si>
    <t>strictly for add clear but pretty decent for it</t>
  </si>
  <si>
    <t>Auto-Loading Holster
Clown Cartridge</t>
  </si>
  <si>
    <t>no real consistent damage perk</t>
  </si>
  <si>
    <t>1 mag damage perk</t>
  </si>
  <si>
    <t>Chain Reaction</t>
  </si>
  <si>
    <t>purely add clear perks</t>
  </si>
  <si>
    <t>Clown Cartridge
Quickdraw</t>
  </si>
  <si>
    <t>Chain Reaction
Auto-Loading Holster</t>
  </si>
  <si>
    <t>double loader perks</t>
  </si>
  <si>
    <t>ALH in 2nd column and useless 1st column</t>
  </si>
  <si>
    <t>Fourth Time's the Charm
Mega Kill Clip</t>
  </si>
  <si>
    <t>excellent perks and origin for LFR damage</t>
  </si>
  <si>
    <t>Aggregate Charge
Elemental Honing
Bait and Switch</t>
  </si>
  <si>
    <t>excellent damage perk spread for a precision linear</t>
  </si>
  <si>
    <t>Briar's Contempt</t>
  </si>
  <si>
    <t>Arrowhead Brake</t>
  </si>
  <si>
    <t>Aggregate Charge
Chaos Reshaped
Surrounded</t>
  </si>
  <si>
    <t>best adaptive burst linear</t>
  </si>
  <si>
    <t>Rewind Rounds
Cornered</t>
  </si>
  <si>
    <t>basically perfect LFR roll, maybe Honing one day</t>
  </si>
  <si>
    <t>Envious Arsenal
Reconstruction
Withering Gaze</t>
  </si>
  <si>
    <t>Arsenal worse than Rewind for dump-style weapon</t>
  </si>
  <si>
    <t>Stormchaser</t>
  </si>
  <si>
    <t>Aggregate Charge
Elemental Honing</t>
  </si>
  <si>
    <t>no Rewind, decent 2nd column though</t>
  </si>
  <si>
    <t>Envious Arsenal
Rapid Hit</t>
  </si>
  <si>
    <t>Precision Instrument
Reservoir Burst</t>
  </si>
  <si>
    <t>worse damage perks than S tier options</t>
  </si>
  <si>
    <t>Envious Assassin
Reconstruction</t>
  </si>
  <si>
    <t>Surrounded
Precision Instrument</t>
  </si>
  <si>
    <t>Assassin worse than Arsenal on Boomslang</t>
  </si>
  <si>
    <t>Clown Cartridge
Deconstruct</t>
  </si>
  <si>
    <t>worse archetype than Stormchaser but better damage perk</t>
  </si>
  <si>
    <t>Willful Hamartia</t>
  </si>
  <si>
    <t>bad reload perk and subpar main damage perks</t>
  </si>
  <si>
    <t>enhanced Triple Tap for reloads</t>
  </si>
  <si>
    <t>slightly worse than Taipan</t>
  </si>
  <si>
    <t>worse damage perk than Taipan but better archetype</t>
  </si>
  <si>
    <t>Precision Instrument
Firing Line</t>
  </si>
  <si>
    <t>no ammo gen precision, okay damage perks</t>
  </si>
  <si>
    <t>Focused Fury
Frenzy</t>
  </si>
  <si>
    <t>no ammo gen precision and mediocre damage perks</t>
  </si>
  <si>
    <t>Clown Cartridge
Auto-Loading Holster</t>
  </si>
  <si>
    <t>bad damage perk and no ammo gen</t>
  </si>
  <si>
    <t>Arrowhead Brake
Fluted Barrel</t>
  </si>
  <si>
    <t>Demolitionist
Reconstruction
Jolting Feedback</t>
  </si>
  <si>
    <t>Mega Kill Clip
High Ground
Bait and Switch</t>
  </si>
  <si>
    <t>excellent origin trait and great neutral perks</t>
  </si>
  <si>
    <t>Demolitionist
Hatchling
Slice</t>
  </si>
  <si>
    <t>Meganeura
Killing Tally</t>
  </si>
  <si>
    <t>great overall perk combo, archetype is decent</t>
  </si>
  <si>
    <t>Demolitionist
Incandescent</t>
  </si>
  <si>
    <t>Meganeura
Burning Ambition
Mega Kill Clip</t>
  </si>
  <si>
    <t>very solid overall, just needs better origin</t>
  </si>
  <si>
    <t>Demolitionist
Reconstruction
Tear</t>
  </si>
  <si>
    <t>Desperate Measures
Bait and Switch
Mega Kill Clip</t>
  </si>
  <si>
    <t>solid origin and great neutral perks</t>
  </si>
  <si>
    <t>Firefly
Demolitionist
Fourth Time's the Charm</t>
  </si>
  <si>
    <t>Mega Kill Clip
Hatchling
Desperate Measures</t>
  </si>
  <si>
    <t>solid origin, probably best manual reload LMG option, still has Demo</t>
  </si>
  <si>
    <t>Demolitionist
Headstone
Envious Arsenal</t>
  </si>
  <si>
    <t>Dragonfly
Rimestealer
Killing Tally</t>
  </si>
  <si>
    <t>Destabilizing Rounds
Firefly
Demolitionist</t>
  </si>
  <si>
    <t>One for All
Demoralize
Killing Tally</t>
  </si>
  <si>
    <t>great origin and good neutral perks with option for double splash/damage</t>
  </si>
  <si>
    <t>Headstone
Overflow</t>
  </si>
  <si>
    <t>Meganeura
Demolitionist
Desperate Measures</t>
  </si>
  <si>
    <t>decent double splash, good origin, option for Demo reload</t>
  </si>
  <si>
    <t>Bane of Sorrow</t>
  </si>
  <si>
    <t>Mega Kill Clip
Meganeura
Killing Tally</t>
  </si>
  <si>
    <t>best non-Demo LMG</t>
  </si>
  <si>
    <t>Mega Kill Clip
Crystalline Corpsebloom
Headstone</t>
  </si>
  <si>
    <t>finally got usable 1st column, solid package otherwise</t>
  </si>
  <si>
    <r>
      <rPr>
        <rFont val="Arial"/>
        <color theme="1"/>
      </rPr>
      <t xml:space="preserve">Terminus Horizon
</t>
    </r>
    <r>
      <rPr>
        <rFont val="Arial"/>
        <i/>
        <color theme="1"/>
      </rPr>
      <t>RotN version</t>
    </r>
  </si>
  <si>
    <t>Alloy Magazine</t>
  </si>
  <si>
    <t>Demolitionist
Reconstruction
Dragonfly</t>
  </si>
  <si>
    <t>Rolling Storm
Killing Tally
Jolting Feedback</t>
  </si>
  <si>
    <t>Arc splash perks mediocre on LMGs, great first column though</t>
  </si>
  <si>
    <t>Reconstruction
Trickle Charge</t>
  </si>
  <si>
    <t>Meganeura
Mega Kill Clip
Rolling Storm</t>
  </si>
  <si>
    <t>no Demo but core perk combo is solid</t>
  </si>
  <si>
    <t>Meganeura
Reconstruction
Fourth Time's the Charm</t>
  </si>
  <si>
    <t>Mega Kill Clip
Rolling Storm</t>
  </si>
  <si>
    <t>splash + damage perk option, Recon as well, no Demo</t>
  </si>
  <si>
    <r>
      <rPr>
        <rFont val="Arial"/>
        <color theme="1"/>
        <sz val="9.0"/>
      </rPr>
      <t xml:space="preserve">Reconstruction
Dragonfly
</t>
    </r>
    <r>
      <rPr>
        <rFont val="Arial"/>
        <color rgb="FF181A1B"/>
        <sz val="9.0"/>
      </rPr>
      <t>Subsistence</t>
    </r>
  </si>
  <si>
    <t>Killing Tally
Repulsor Brace
Redirection</t>
  </si>
  <si>
    <t>solid neutral combos but nothing special</t>
  </si>
  <si>
    <t>DIABLERETS 06</t>
  </si>
  <si>
    <t>Auto-Loading Holster
Hatchling</t>
  </si>
  <si>
    <t>Meganeura
Redirection
Killing Tally</t>
  </si>
  <si>
    <t>not bad, first column a little lacking</t>
  </si>
  <si>
    <t>Auto-Loading Holster
Subsistence
Dragonfly</t>
  </si>
  <si>
    <t>Incandescent
Cascade Point
Golden Tricorn</t>
  </si>
  <si>
    <t>decent first column, splash in second but no consistent damage perk</t>
  </si>
  <si>
    <t>Incandescent
Fourth Time's the Charm
Auto-Loading Holster</t>
  </si>
  <si>
    <t>Killing Tally
Target Lock
Burning Ambition</t>
  </si>
  <si>
    <t>no Demo in first column, splash in first is interesting but combos aren't great</t>
  </si>
  <si>
    <t>Temporal Clause</t>
  </si>
  <si>
    <t>Demolitionist
Meganeura
Incandescent</t>
  </si>
  <si>
    <t>Mega Kill Clip
Burning Ambition
Killing Tally</t>
  </si>
  <si>
    <t>similar to Hammerhead, lethal double damage perk combos</t>
  </si>
  <si>
    <t>Demolitionist
Destabilizing Rounds
Dimensional Shift</t>
  </si>
  <si>
    <t>Mega Kill Clip
Desperate Measures</t>
  </si>
  <si>
    <t>decent, just lacks a splash perk to pair with Demo</t>
  </si>
  <si>
    <t>Dawn Far Off</t>
  </si>
  <si>
    <t>Burning Ambition
Impromptu Ammunition
Subsistence</t>
  </si>
  <si>
    <t>Incandescent
Meganeura
Redirection</t>
  </si>
  <si>
    <t>no reload perk hurts, but origin helps and other perks are lethal</t>
  </si>
  <si>
    <t>Envious Assassin
Heal Clip
Deconstruct</t>
  </si>
  <si>
    <t>Incandescent
Killing Tally
One For All</t>
  </si>
  <si>
    <t>Envious usable on LMGs, great origin, just missing good loader perk</t>
  </si>
  <si>
    <t>Rimestealer
Air Trigger
Fourth Time's the Charm</t>
  </si>
  <si>
    <t>Headstone
Desperate Measures
Killing Tally</t>
  </si>
  <si>
    <t>classic stasis perk combo, just no good loader perk</t>
  </si>
  <si>
    <t>Overflow
Field Prep</t>
  </si>
  <si>
    <t>Jolting Feedback
Killing Tally
Rolling Storm</t>
  </si>
  <si>
    <t>Arc splash perks mediocre on LMGs, okay first column</t>
  </si>
  <si>
    <t>Marcato-45</t>
  </si>
  <si>
    <t>Hatchling
Golden Tricorn
Onslaught</t>
  </si>
  <si>
    <t>Demo + decent second column on okay archetype</t>
  </si>
  <si>
    <t>21% Delirium</t>
  </si>
  <si>
    <t>Reconstruction
Overflow
Fourth Time's the Charm</t>
  </si>
  <si>
    <t>Mega Kill Clip
Killing Tally</t>
  </si>
  <si>
    <t>no Demo and no good splash perks but solid QoL performance</t>
  </si>
  <si>
    <t>Subsistence
Field Prep</t>
  </si>
  <si>
    <t>One for All
Headstone</t>
  </si>
  <si>
    <t>great origin + mediocre first column</t>
  </si>
  <si>
    <t>Auto-Loading Holster
Impromptu Ammunition
Lead from Light</t>
  </si>
  <si>
    <t>Meganeura
Mega Kill Clip</t>
  </si>
  <si>
    <t>okay first column, Meganeura in 2nd but not much else</t>
  </si>
  <si>
    <t>Field Prep
Triple Tap
Slideways</t>
  </si>
  <si>
    <t>Destabilizing Rounds
Adrenaline Junkie
Dragonfly</t>
  </si>
  <si>
    <t>good origin but bad first column</t>
  </si>
  <si>
    <t>Incandescent
Killing Tally</t>
  </si>
  <si>
    <t>no loader perk, good archetype + splash perk though</t>
  </si>
  <si>
    <t>Light Heatsink</t>
  </si>
  <si>
    <t>Trickle Charge
Cooling Baubles
Eddy Current</t>
  </si>
  <si>
    <t>questionable first column but solid 2nd column for arc, awful ammo gen</t>
  </si>
  <si>
    <t>Feeding Frenzy
Rimestealer</t>
  </si>
  <si>
    <t>Dragonfly
Golden Tricorn
One for All</t>
  </si>
  <si>
    <t>good origin but mediocre perks</t>
  </si>
  <si>
    <t>Swashbuckler
Pugilist</t>
  </si>
  <si>
    <t>decent melee combo but overshadowed by plenty of other options</t>
  </si>
  <si>
    <t>Adrenaline Junkie
Surrounded</t>
  </si>
  <si>
    <t>ALH but mediocre second column with awful recoil</t>
  </si>
  <si>
    <t>Fourth Time's the Charm
Field Prep
Feeding Frenzy</t>
  </si>
  <si>
    <t>One for All
Golden Tricorn</t>
  </si>
  <si>
    <t>mediocre first and second column</t>
  </si>
  <si>
    <t>Dragonfly
Golden Tricorn</t>
  </si>
  <si>
    <t>no loader perk and mediocre splash perk + damage perk</t>
  </si>
  <si>
    <t>Golden Tricorn
Target Lock</t>
  </si>
  <si>
    <t>awful all around</t>
  </si>
  <si>
    <t>Impact Casing</t>
  </si>
  <si>
    <t>Envious Arsenal
Cluster Bomb
Collective Demolition</t>
  </si>
  <si>
    <t>Bait and Switch
Aggregate Charge
Bipod</t>
  </si>
  <si>
    <t>double damage options, insane origin, Bipod swap option</t>
  </si>
  <si>
    <t>Aggregate Charge
Bait and Switch
Bipod</t>
  </si>
  <si>
    <t>Envious + decent perks + Accelerated Assault + good frame</t>
  </si>
  <si>
    <t>The Hothead</t>
  </si>
  <si>
    <t>Aggregate Charge
Elemental Honing
Bipod</t>
  </si>
  <si>
    <t>essentially identical to Cynosure</t>
  </si>
  <si>
    <t>Clown Cartridge
Reconstruction
Overflow</t>
  </si>
  <si>
    <t>missing Envious but great otherwise as a burst specialist</t>
  </si>
  <si>
    <t>Crux Celeritas IV</t>
  </si>
  <si>
    <t>Reconstruction
Clown Cartridge</t>
  </si>
  <si>
    <t>basically The When and Where with worse origin</t>
  </si>
  <si>
    <t>Bellowing Giant</t>
  </si>
  <si>
    <t>Aggregate Charge
Reaper's Tithe
Bipod</t>
  </si>
  <si>
    <t>good perks but single dump is awkward</t>
  </si>
  <si>
    <t>Roar of the Bear</t>
  </si>
  <si>
    <t>Explosive Light
Reconstruction</t>
  </si>
  <si>
    <t>Reaper's Tithe
Bipod</t>
  </si>
  <si>
    <t>true double damage perks, need to find a way to dump though</t>
  </si>
  <si>
    <t>Reconstruction
Cluster Bomb
Chain Reaction</t>
  </si>
  <si>
    <t>Bait and Switch
Reaper's Tithe
Bipod</t>
  </si>
  <si>
    <t>double damage with Cluster, just worse origin than Hezen</t>
  </si>
  <si>
    <r>
      <rPr>
        <rFont val="Arial"/>
        <color theme="1"/>
      </rPr>
      <t xml:space="preserve">Cold Comfort
</t>
    </r>
    <r>
      <rPr>
        <rFont val="Arial"/>
        <i/>
        <color theme="1"/>
      </rPr>
      <t>RotN version</t>
    </r>
  </si>
  <si>
    <t>Envious Arsenal
Reconstruction</t>
  </si>
  <si>
    <t>Elemental Honing
Bait and Switch
Bipod</t>
  </si>
  <si>
    <t>worse origin than Hezen with no Cluster option</t>
  </si>
  <si>
    <t>Heretic</t>
  </si>
  <si>
    <t>Envious Arsenal
Cluster Bomb</t>
  </si>
  <si>
    <t>Explosive Light
Gear Shift
Bipod</t>
  </si>
  <si>
    <t>worse origin than Cold Comfort, but Cluster option and worse damage perks</t>
  </si>
  <si>
    <t>Envious Arsenal
Air Trigger</t>
  </si>
  <si>
    <t>Bait and Switch
Explosive Light
Bipod</t>
  </si>
  <si>
    <t>interesting option post-reserve nerf, frame difference</t>
  </si>
  <si>
    <t>Bad Omens</t>
  </si>
  <si>
    <t>Bipod
Auto-Loading Holster</t>
  </si>
  <si>
    <t xml:space="preserve">Elemental Honing
Bait and Switch
Explosive Light
</t>
  </si>
  <si>
    <t>first Bipod + true damage perk rocket, worse than Cluster pairing</t>
  </si>
  <si>
    <t>Red Herring</t>
  </si>
  <si>
    <t>Reconstruction
Cluster Bomb</t>
  </si>
  <si>
    <t>mediocre double damage, no Envious, otherwise okay</t>
  </si>
  <si>
    <t>Envious Assassin
Reconstruction
Vorpal Weapon</t>
  </si>
  <si>
    <t>built for burst but no double damage and no Envious Arsenal</t>
  </si>
  <si>
    <t>Reconstruction
Clown Cartridge
Slideshot</t>
  </si>
  <si>
    <t>Bipod
Explosive Light
Surrounded</t>
  </si>
  <si>
    <t>doubles as add clear Pack rocket thanks to origin, damage perks are niche</t>
  </si>
  <si>
    <t>Auto-Loading Holster
Cluster Bomb
Grave Robber</t>
  </si>
  <si>
    <t>Aggregate Charge
Reaper's Tithe
Elemental Honing</t>
  </si>
  <si>
    <t>decent perk combos, just not the best frame</t>
  </si>
  <si>
    <t>Sleepless</t>
  </si>
  <si>
    <t>similar to good archetypes with origin trait, Recon is okay</t>
  </si>
  <si>
    <t>Cluster Bomb
Air Trigger</t>
  </si>
  <si>
    <t>Bipod
Chain Reaction
Lasting Impression</t>
  </si>
  <si>
    <t>basically Braytech except aggressive</t>
  </si>
  <si>
    <t>Field Prep
Slideshot
Auto-Loading Holster</t>
  </si>
  <si>
    <t>Bipod
Explosive Light</t>
  </si>
  <si>
    <t>not as versatile as Crux but similar quality origin</t>
  </si>
  <si>
    <t>Pyroclastic Flow</t>
  </si>
  <si>
    <t>Auto-Loading Holster
Cluster Bomb</t>
  </si>
  <si>
    <t>probably best precision DPS rocket</t>
  </si>
  <si>
    <t>Cluster Bomb
Envious Arsenal
Clown Cartridge</t>
  </si>
  <si>
    <t>Bait and Switch
Bipod</t>
  </si>
  <si>
    <t>decent for Pack add clear, worst archetype for damage</t>
  </si>
  <si>
    <t>Ascendancy</t>
  </si>
  <si>
    <t>Reconstruction
Attrition Orbs</t>
  </si>
  <si>
    <t>Reaper's Tithe
Explosive Light
Bipod</t>
  </si>
  <si>
    <t>decent perks overall, just a precision</t>
  </si>
  <si>
    <t>Subzero Salvo</t>
  </si>
  <si>
    <t>Auto-Loading Holster
Envious Assassin</t>
  </si>
  <si>
    <t>Aggregate Charge
Explosive Light
Bipod</t>
  </si>
  <si>
    <t>Braytech Osprey</t>
  </si>
  <si>
    <t>Cluster Bomb
Envious Assassin
Field Prep</t>
  </si>
  <si>
    <t>Bipod
Frenzy</t>
  </si>
  <si>
    <t>among the best for Pack add clear</t>
  </si>
  <si>
    <t>Clown Cartridge
Auto-Loading Holster
Field Prep</t>
  </si>
  <si>
    <t>Reconstruction
Air Trigger
Demolitionist</t>
  </si>
  <si>
    <t>Bipod
Deconstruct</t>
  </si>
  <si>
    <t>little worse than the best add clear options but still good</t>
  </si>
  <si>
    <t>Blowout</t>
  </si>
  <si>
    <t>Field Prep
Demolitionist</t>
  </si>
  <si>
    <t>Explosive Light
Frenzy</t>
  </si>
  <si>
    <t>less versatile Hothead</t>
  </si>
  <si>
    <t>Bump in the Night</t>
  </si>
  <si>
    <t>Demolitionist
Auto-Loading Holster
Field Prep</t>
  </si>
  <si>
    <t>Frenzy
Chill Clip</t>
  </si>
  <si>
    <t>solid archetype but very outdated damage perks</t>
  </si>
  <si>
    <t>Code Duello</t>
  </si>
  <si>
    <t>okay archetype with outdated damage perks</t>
  </si>
  <si>
    <t>ALH but precision and outdated damage eprk</t>
  </si>
  <si>
    <t>Hoosegow</t>
  </si>
  <si>
    <t>Field Prep
Auto-Loading Holster</t>
  </si>
  <si>
    <t>Cluster Bomb
Demolitionist</t>
  </si>
  <si>
    <t>ALH but Cluster as best damage perk</t>
  </si>
  <si>
    <t>Royal Entry</t>
  </si>
  <si>
    <t>Clown Cartridge
Lasting Impression</t>
  </si>
  <si>
    <t>ALH but precision and outdated damage perk</t>
  </si>
  <si>
    <t>Shining Sphere</t>
  </si>
  <si>
    <t>ALH with no damage perk</t>
  </si>
  <si>
    <t>Charge</t>
  </si>
  <si>
    <t>Impact</t>
  </si>
  <si>
    <t>Jagged Edge
Tempered Edge</t>
  </si>
  <si>
    <t>Swordmaster's Guard
Heavy Guard</t>
  </si>
  <si>
    <t>Surrounded
Cold Steel
Whirlwind Blade</t>
  </si>
  <si>
    <t>assumed unintended, otherwise best DPS sword in the game</t>
  </si>
  <si>
    <t>Sharp Harvest with Eager interesting, also great for damage</t>
  </si>
  <si>
    <t>The Slammer</t>
  </si>
  <si>
    <t>Eager Edge
Chain Reaction
Relentless Strikes</t>
  </si>
  <si>
    <t>Cold Steel
Chaos Reshaped
Surrounded</t>
  </si>
  <si>
    <t>still best overall Eager sword</t>
  </si>
  <si>
    <t>Relentless Strikes
Attrition Orbs
Eager Edge</t>
  </si>
  <si>
    <t>Bait and Switch
Surrounded
Elemental Honing</t>
  </si>
  <si>
    <t>worse utility than Slammer due to no Cold Steel but still good</t>
  </si>
  <si>
    <t>Eager Edge
Vorpal Weapon
Relentless Strikes</t>
  </si>
  <si>
    <t>Assassin's Blade
Whirlwind Blade
Destabilizing Rounds</t>
  </si>
  <si>
    <t>best light attack neutral + okay damage with bumped impact</t>
  </si>
  <si>
    <t>Terciopelo-4bl</t>
  </si>
  <si>
    <t>Relentless Strikes
Burning Ambition
Eager Edge</t>
  </si>
  <si>
    <t>Chaos Reshaped
Aggregate Charge
Whirlwind Blade</t>
  </si>
  <si>
    <t>lightweight Eager with novel damage perk combos</t>
  </si>
  <si>
    <t>Relentless Strikes
Jolting Feedback</t>
  </si>
  <si>
    <t>Surrounded
Elemental Honing
Redirection</t>
  </si>
  <si>
    <t>best Surrounded DPS sword</t>
  </si>
  <si>
    <t>Sharp Harvest
Flash Counter
Rimestealer</t>
  </si>
  <si>
    <t>Whirlwind Blade
Elemental Honing
Cold Steel</t>
  </si>
  <si>
    <t>no Relentless hurts, otherwise probably best neutral (Flash + Cold)</t>
  </si>
  <si>
    <t>Relentless Strikes
Attrition Orbs
Deconstruct</t>
  </si>
  <si>
    <t>Chaos Reshaped
Whirlwind Blade
Surrounded</t>
  </si>
  <si>
    <t>worse impact than newer waves, but still good perks</t>
  </si>
  <si>
    <t>Relentless Strikes
Flash Counter</t>
  </si>
  <si>
    <t>Elemental Honing
Surrounded
Redirection</t>
  </si>
  <si>
    <t>similar to Summum with better neutral and worse DPS-focused perks</t>
  </si>
  <si>
    <t>best consistent adaptive sword</t>
  </si>
  <si>
    <r>
      <rPr>
        <rFont val="Arial"/>
        <color theme="1"/>
      </rPr>
      <t xml:space="preserve">Falling Guillotine
</t>
    </r>
    <r>
      <rPr>
        <rFont val="Arial"/>
        <i/>
        <color theme="1"/>
      </rPr>
      <t>BRAVE version</t>
    </r>
  </si>
  <si>
    <t>Relentless Strikes
Frenzy
Attrition Orbs</t>
  </si>
  <si>
    <t xml:space="preserve">Eager Edge
Elemental Honing
Whirlwind Blade
</t>
  </si>
  <si>
    <t>double damage perks traded for tanking total, solid Eager option though</t>
  </si>
  <si>
    <t>Relentless Strikes
Attrition Orbs</t>
  </si>
  <si>
    <t>Whirlwind Blade
Surrounded</t>
  </si>
  <si>
    <t>BiS consistent caster option</t>
  </si>
  <si>
    <t>Relentless Strikes
Sharp Harvest</t>
  </si>
  <si>
    <t>Surrounded
Whirlwind Blade
Eager Edge</t>
  </si>
  <si>
    <t>Sullen Claw alternative with different column Eager</t>
  </si>
  <si>
    <t>Relentless Strikes
Eager Edge</t>
  </si>
  <si>
    <t>Elemental Honing
Whirlwind Blade
Redirection</t>
  </si>
  <si>
    <t>Eager caster with decent damage perks</t>
  </si>
  <si>
    <t>Relentless Strikes
Sharp Harvest
Collective Demolition</t>
  </si>
  <si>
    <t>Destabilizing Rounds
Whirlwind Blade
Eager Edge</t>
  </si>
  <si>
    <t>Eager caster with opposing utility perks</t>
  </si>
  <si>
    <t>Aggregate Charge
Elemental Honing
Whirlwind Blade</t>
  </si>
  <si>
    <t>standard good damage perks with Eager light option</t>
  </si>
  <si>
    <t>Hardline Cut</t>
  </si>
  <si>
    <t>Whirlwind Blade
Surrounded
Eager Edge</t>
  </si>
  <si>
    <t>similar to Abide, has AO access though</t>
  </si>
  <si>
    <t>Whirlwind Blade
Elemental Honing
Eager Edge</t>
  </si>
  <si>
    <t>guard requirement for origin is bad, otherwise standard Eager adaptive</t>
  </si>
  <si>
    <t>Eager Edge
Relentless Strikes</t>
  </si>
  <si>
    <t>Surrounded
Frenzy
Whirlwind Blade</t>
  </si>
  <si>
    <t>good roam option for Eager + Surrounded heavy attacks</t>
  </si>
  <si>
    <t>Relentless Strikes
Sharp Harvest
Slice</t>
  </si>
  <si>
    <t>Elemental Honing
Redirection
Attrition Orbs</t>
  </si>
  <si>
    <t>okay perks but worst frame, notable ability regen niche</t>
  </si>
  <si>
    <t>Swordmaster's Guard</t>
  </si>
  <si>
    <t>interesting frame, arguably most consistent light spammer</t>
  </si>
  <si>
    <t>worse ammo than Ill Omen, no Surrounded, better origin</t>
  </si>
  <si>
    <t>Stryker's Sure-Hand</t>
  </si>
  <si>
    <t>Heavy Guard</t>
  </si>
  <si>
    <t>Whirlwind Blade
Surrounded
Redirection</t>
  </si>
  <si>
    <t>good frame for Redirection roam, otherwise normal aggressive</t>
  </si>
  <si>
    <t>Eager Edge
Slice</t>
  </si>
  <si>
    <t>Whirlwind Blade
Elemental Honing
Surrounded</t>
  </si>
  <si>
    <t>no Relentless, but has Eager and Slice with some damage options</t>
  </si>
  <si>
    <t>Whirlwind Blade
Elemental Honing</t>
  </si>
  <si>
    <t>similar to Crown-Splitter, no Redirection to push A</t>
  </si>
  <si>
    <t>Surrounded
Whirlwind Blade</t>
  </si>
  <si>
    <t>consistent light spammer, worse than Goldtusk though</t>
  </si>
  <si>
    <t>Relentless + Whirlwind/Surrounded adaptive core</t>
  </si>
  <si>
    <t>Relentless + Whirlwind only adaptive</t>
  </si>
  <si>
    <t>Infinite Guard</t>
  </si>
  <si>
    <t>bad frame but has Surrounded option</t>
  </si>
  <si>
    <t>worst Eager sword but more useful than Surrounded-only swords</t>
  </si>
  <si>
    <t>Surrounded-only adaptive</t>
  </si>
  <si>
    <t>Surrounded-only and bad frame</t>
  </si>
  <si>
    <t>no Relentless or Whirlwind, frame decent</t>
  </si>
  <si>
    <t>Relentless + mediocre damage perk</t>
  </si>
  <si>
    <t>Golden Tricorn
Chain Reaction</t>
  </si>
  <si>
    <t>no real boss damage perk</t>
  </si>
  <si>
    <t>Opaque Hourglass</t>
  </si>
  <si>
    <t>Ultralight Rail</t>
  </si>
  <si>
    <t>Charged Bolts
Serrated Bolts
Heavy Bolts</t>
  </si>
  <si>
    <t>Impulse Amplifier
Firefly
Bolt Scavenger</t>
  </si>
  <si>
    <t>Elemental Honing
Dragonfly
Firing Line</t>
  </si>
  <si>
    <t>no double damage but solid reload/damage perks</t>
  </si>
  <si>
    <t>Auto-Loading Holster
Bolt Scavenger
Lead from Light</t>
  </si>
  <si>
    <t>Aggregate Charge
Headstone
Chill Clip</t>
  </si>
  <si>
    <t>cool add clear option</t>
  </si>
  <si>
    <t>Envious Arsenal
Bolt Scavenger
Withering Gaze</t>
  </si>
  <si>
    <t>High Ground
Box Breathing</t>
  </si>
  <si>
    <t>potential damage option if High Ground is usable on a boss</t>
  </si>
  <si>
    <t>Precision Instrument
Desperate Measures</t>
  </si>
  <si>
    <t>BiS for LP for now</t>
  </si>
  <si>
    <t>Snapshot Sights
Moving Target
Bewildering Burst</t>
  </si>
  <si>
    <t>first of its kind; powerful archetype with mediocre 1st column</t>
  </si>
  <si>
    <t>Extended Mag
Tactical Mag</t>
  </si>
  <si>
    <t>Trickle Charge
Blast Distributor
Eddy Current</t>
  </si>
  <si>
    <t xml:space="preserve">Elemental Honing
One For All
Jolting Feedback
</t>
  </si>
  <si>
    <t>worse reload perks than Mint but still usable</t>
  </si>
  <si>
    <t>Veillantif-D</t>
  </si>
  <si>
    <t>Air Trigger
Heal Clip
Blast Distributor</t>
  </si>
  <si>
    <t>Incandescent
Desperate Measures
Burning Ambition</t>
  </si>
  <si>
    <t>better perks than Psi for roam</t>
  </si>
  <si>
    <t xml:space="preserve">Field Prep
Beacon Rounds
Hatchling
</t>
  </si>
  <si>
    <t xml:space="preserve">Master of Arms
Frenzy
Cascade Point
</t>
  </si>
  <si>
    <t>excellent ammo gen + roam + damage perks</t>
  </si>
  <si>
    <t>ROLE</t>
  </si>
  <si>
    <t>ALTERNATIVE</t>
  </si>
  <si>
    <t>Slot</t>
  </si>
  <si>
    <t>Affinity</t>
  </si>
  <si>
    <t>Enhance</t>
  </si>
  <si>
    <t>Weapons</t>
  </si>
  <si>
    <t>Auto</t>
  </si>
  <si>
    <t>Enlightened Action
Subsistence
Shoot to Loot</t>
  </si>
  <si>
    <t>Kinetic Tremors
Onslaught
Deconstruct</t>
  </si>
  <si>
    <t>Add clear</t>
  </si>
  <si>
    <r>
      <rPr>
        <rFont val="Arial"/>
        <b/>
        <color theme="1"/>
      </rPr>
      <t>Veiled Threat</t>
    </r>
    <r>
      <rPr>
        <rFont val="Arial"/>
        <color theme="1"/>
      </rPr>
      <t xml:space="preserve">
Shoot to Loot/Attrition Orbs + Desperate Measures</t>
    </r>
  </si>
  <si>
    <t>Physic
Demolitionist</t>
  </si>
  <si>
    <t>Incandescent
Circle of Life</t>
  </si>
  <si>
    <t>Add clear
Support</t>
  </si>
  <si>
    <r>
      <rPr>
        <rFont val="Arial"/>
        <b/>
        <color theme="1"/>
      </rPr>
      <t xml:space="preserve">The Summoner
</t>
    </r>
    <r>
      <rPr>
        <rFont val="Arial"/>
        <color theme="1"/>
      </rPr>
      <t>Subsistence/Heal Clip + Incandescent/Onslaught</t>
    </r>
  </si>
  <si>
    <t>Kinetic Tremors
Firefly
Explosive Head</t>
  </si>
  <si>
    <r>
      <rPr>
        <rFont val="Arial"/>
        <b/>
        <color theme="1"/>
      </rPr>
      <t xml:space="preserve">Raconteur
</t>
    </r>
    <r>
      <rPr>
        <rFont val="Arial"/>
        <color theme="1"/>
      </rPr>
      <t>Archer's Tempo/Shoot to Loot + Explosive Head/Headstone</t>
    </r>
  </si>
  <si>
    <t>Dragonfly
Archer's Tempo
Shoot to Loot</t>
  </si>
  <si>
    <t>Voltshot
Explosive Head
Archer's Gambit</t>
  </si>
  <si>
    <r>
      <rPr>
        <rFont val="Arial"/>
        <b/>
        <color theme="1"/>
      </rPr>
      <t xml:space="preserve">Tyranny of Heaven
</t>
    </r>
    <r>
      <rPr>
        <rFont val="Arial"/>
        <color theme="1"/>
      </rPr>
      <t>Dragonfly + Incandescent</t>
    </r>
  </si>
  <si>
    <t>Shoot to Loot
Archer's Tempo
Attrition Orbs</t>
  </si>
  <si>
    <t>Explosive Head
Incandescent
Archer's Gambit</t>
  </si>
  <si>
    <r>
      <rPr>
        <rFont val="Arial"/>
        <b/>
        <color theme="1"/>
      </rPr>
      <t>Hush</t>
    </r>
    <r>
      <rPr>
        <rFont val="Arial"/>
        <color theme="1"/>
      </rPr>
      <t xml:space="preserve">
Shoot to Loot/Archer's Tempo/Attrition Orbs + Explosive Head/Incandescent/Archer's Gambit</t>
    </r>
  </si>
  <si>
    <r>
      <rPr>
        <rFont val="Arial"/>
        <color theme="1"/>
      </rPr>
      <t xml:space="preserve">Midnight Coup
</t>
    </r>
    <r>
      <rPr>
        <rFont val="Arial"/>
        <i/>
        <color theme="1"/>
      </rPr>
      <t>BRAVE version</t>
    </r>
  </si>
  <si>
    <t>Firefly
Shoot to Loot
Explosive Payload</t>
  </si>
  <si>
    <t>Frenzy
Kinetic Tremors
One for All</t>
  </si>
  <si>
    <r>
      <rPr>
        <rFont val="Arial"/>
        <b/>
        <color theme="1"/>
      </rPr>
      <t xml:space="preserve">Fatebringer
</t>
    </r>
    <r>
      <rPr>
        <rFont val="Arial"/>
        <color theme="1"/>
      </rPr>
      <t>Explosive Payload + Firefly/Frenzy</t>
    </r>
  </si>
  <si>
    <r>
      <rPr>
        <rFont val="Arial"/>
        <b/>
        <color theme="1"/>
      </rPr>
      <t xml:space="preserve">Posterity
</t>
    </r>
    <r>
      <rPr>
        <rFont val="Arial"/>
        <color theme="1"/>
      </rPr>
      <t>Voltshot + Frenzy</t>
    </r>
  </si>
  <si>
    <r>
      <rPr>
        <rFont val="Arial"/>
        <b/>
        <color rgb="FF181A1B"/>
      </rPr>
      <t>Maahes HC4</t>
    </r>
    <r>
      <rPr>
        <rFont val="Arial"/>
        <color rgb="FF181A1B"/>
      </rPr>
      <t xml:space="preserve">
Enlightened Action/Rapid Hit + Frenzy</t>
    </r>
  </si>
  <si>
    <r>
      <rPr>
        <rFont val="Arial"/>
        <color theme="1"/>
      </rPr>
      <t xml:space="preserve">Blast Furnace
</t>
    </r>
    <r>
      <rPr>
        <rFont val="Arial"/>
        <i/>
        <color theme="1"/>
      </rPr>
      <t>BRAVE version</t>
    </r>
  </si>
  <si>
    <t>Kinetic Tremors
Shoot to Loot</t>
  </si>
  <si>
    <t>Frenzy
Firefly</t>
  </si>
  <si>
    <r>
      <rPr>
        <rFont val="Arial"/>
        <b/>
        <color theme="1"/>
      </rPr>
      <t>Chattering Bone</t>
    </r>
    <r>
      <rPr>
        <rFont val="Arial"/>
        <color theme="1"/>
      </rPr>
      <t xml:space="preserve">
Rapid Hit/Kill Clip + Kinetic Tremors</t>
    </r>
  </si>
  <si>
    <r>
      <rPr>
        <rFont val="Arial"/>
        <b/>
        <color rgb="FF181A1B"/>
      </rPr>
      <t xml:space="preserve">Gridskipper
</t>
    </r>
    <r>
      <rPr>
        <rFont val="Arial"/>
        <color rgb="FF181A1B"/>
      </rPr>
      <t>Repulsor Brace + Destabilizing Rounds</t>
    </r>
  </si>
  <si>
    <t>Scout</t>
  </si>
  <si>
    <t>Rapid Hit
Under-Over</t>
  </si>
  <si>
    <t>Kinetic Tremors
Adaptive Munitions</t>
  </si>
  <si>
    <r>
      <rPr>
        <rFont val="Arial"/>
        <b/>
        <color theme="1"/>
      </rPr>
      <t xml:space="preserve">Hung Jury SR4 (BRAVE version)
</t>
    </r>
    <r>
      <rPr>
        <rFont val="Arial"/>
        <color theme="1"/>
      </rPr>
      <t>Shoot to Loot/Kinetic Tremors + Firefly/Explosive Payload</t>
    </r>
  </si>
  <si>
    <t>Heal Clip
Shoot to Loot</t>
  </si>
  <si>
    <r>
      <rPr>
        <rFont val="Arial"/>
        <b/>
        <color theme="1"/>
      </rPr>
      <t xml:space="preserve">Doom of Chelchis
</t>
    </r>
    <r>
      <rPr>
        <rFont val="Arial"/>
        <color theme="1"/>
      </rPr>
      <t>Firefly/Explosive Payload + Dragonfly/Frenzy</t>
    </r>
  </si>
  <si>
    <r>
      <rPr>
        <rFont val="Arial"/>
        <b/>
        <color theme="1"/>
      </rPr>
      <t xml:space="preserve">Brya's Love
</t>
    </r>
    <r>
      <rPr>
        <rFont val="Arial"/>
        <color theme="1"/>
      </rPr>
      <t>Shoot to Loot + Explosive Payload</t>
    </r>
  </si>
  <si>
    <t>Demolitionist
Slice
Threat Detector</t>
  </si>
  <si>
    <t>Desperate Measures
Hatchling</t>
  </si>
  <si>
    <r>
      <rPr>
        <rFont val="Arial"/>
        <b/>
        <color theme="1"/>
      </rPr>
      <t xml:space="preserve">Mykel's Reverence
</t>
    </r>
    <r>
      <rPr>
        <rFont val="Arial"/>
        <color theme="1"/>
      </rPr>
      <t>Rewind Rounds + Frenzy/Hatchling</t>
    </r>
  </si>
  <si>
    <t>Eddy Current
Demolitionist
Attrition Orbs</t>
  </si>
  <si>
    <t>Voltshot
Frenzy
Desperate Measures</t>
  </si>
  <si>
    <r>
      <rPr>
        <rFont val="Arial"/>
        <b/>
        <color theme="1"/>
      </rPr>
      <t>Heliocentric QSc</t>
    </r>
    <r>
      <rPr>
        <rFont val="Arial"/>
        <color theme="1"/>
      </rPr>
      <t xml:space="preserve">
Heal Clip/Demolitionist + Incandescent/Frenzy</t>
    </r>
  </si>
  <si>
    <t>Enlightened Action
Demolitionist</t>
  </si>
  <si>
    <t>Chaos Reshaped
Firefly
Hatchling</t>
  </si>
  <si>
    <r>
      <rPr>
        <rFont val="Arial"/>
        <b/>
        <color theme="1"/>
      </rPr>
      <t xml:space="preserve">Multimach CCX
</t>
    </r>
    <r>
      <rPr>
        <rFont val="Arial"/>
        <b val="0"/>
        <color theme="1"/>
      </rPr>
      <t>Attrition Orbs/Under-Over + Frenzy/Kinetic Tremors</t>
    </r>
  </si>
  <si>
    <t>Threat Detector
Shoot to Loot
Stats For All</t>
  </si>
  <si>
    <r>
      <rPr>
        <rFont val="Arial"/>
        <b/>
        <color theme="1"/>
      </rPr>
      <t xml:space="preserve">The Recluse (BRAVE version)
</t>
    </r>
    <r>
      <rPr>
        <rFont val="Arial"/>
        <color theme="1"/>
      </rPr>
      <t>Enlightened Action/Repulsor Brace + Desperate Measures/Frenzy/Destablizing Rounds</t>
    </r>
  </si>
  <si>
    <t>KEY</t>
  </si>
  <si>
    <t>Tags</t>
  </si>
  <si>
    <t>Description</t>
  </si>
  <si>
    <t>Roam</t>
  </si>
  <si>
    <t>Day 1</t>
  </si>
  <si>
    <t>Chall</t>
  </si>
  <si>
    <t>Speed</t>
  </si>
  <si>
    <t>2</t>
  </si>
  <si>
    <t>power</t>
  </si>
  <si>
    <t>utility</t>
  </si>
  <si>
    <t>30% debuff on all targets (including immune)
Suppressing and weakening blast
The Scientific Method movement and handling bonus</t>
  </si>
  <si>
    <t>▲</t>
  </si>
  <si>
    <t>✔</t>
  </si>
  <si>
    <t>Optimal</t>
  </si>
  <si>
    <t>1</t>
  </si>
  <si>
    <t>special</t>
  </si>
  <si>
    <t>add clear</t>
  </si>
  <si>
    <t>Hip fire ammo dump mode with high burst
ADS mode with increased precision damage
Modified Radiolaria Transposer</t>
  </si>
  <si>
    <t>✖</t>
  </si>
  <si>
    <t>Viable</t>
  </si>
  <si>
    <t>4</t>
  </si>
  <si>
    <t>Worm's Hunger burst projectile
Worm Byproduct other weapons damage boost</t>
  </si>
  <si>
    <t>!</t>
  </si>
  <si>
    <t>Situational</t>
  </si>
  <si>
    <t>10</t>
  </si>
  <si>
    <t>Golden Gun granted on 6 crits or 12 orbs
Returns ammo when Golden Gun is cast</t>
  </si>
  <si>
    <t>Wasted</t>
  </si>
  <si>
    <t>14</t>
  </si>
  <si>
    <t>Special ammo sword with different exotic traits
Increased damage and grenade regen while Transcendent
Regens ammo on Prismatic grenade damage</t>
  </si>
  <si>
    <t>no ordering within tiers</t>
  </si>
  <si>
    <t>15</t>
  </si>
  <si>
    <t>Targetable turret creation on 3 ammo consumption
Regular BnS LFR mode otherwise</t>
  </si>
  <si>
    <t>Turncoat</t>
  </si>
  <si>
    <t>primary</t>
  </si>
  <si>
    <t>Fafnir</t>
  </si>
  <si>
    <t>Cull's Shadow</t>
  </si>
  <si>
    <t>6</t>
  </si>
  <si>
    <t>utility
add clear</t>
  </si>
  <si>
    <t>~26% damage to legendary rockets
Homing rocket with secondary missile on kill</t>
  </si>
  <si>
    <t>Praxic Blade</t>
  </si>
  <si>
    <t>Customizable sword multitool
Changes effects based on subclass</t>
  </si>
  <si>
    <t>5</t>
  </si>
  <si>
    <t>Heal on hit, regen, and Woven Mail for shot allies
Sever on shot enemies
Grapple point creation on alt fire</t>
  </si>
  <si>
    <t>11</t>
  </si>
  <si>
    <t>Fires stacking DoT missiles that embed
Generates Vestiges on hit
Special reload to give special at 50% or heavy at 100%</t>
  </si>
  <si>
    <t>32</t>
  </si>
  <si>
    <t>Overload
15% debuff
Crit creation, damage burst every 4s</t>
  </si>
  <si>
    <t>16</t>
  </si>
  <si>
    <t>Seeking void orbs on kill
Turnabout, Vorpal Weapon</t>
  </si>
  <si>
    <t>39</t>
  </si>
  <si>
    <t>Shock blast
Trench Barrel</t>
  </si>
  <si>
    <t>3</t>
  </si>
  <si>
    <t>Massively increased damage on hip-fire
Fires scorching bursts of bullets</t>
  </si>
  <si>
    <t>24</t>
  </si>
  <si>
    <t>Lightning Rod chains on kill</t>
  </si>
  <si>
    <t>54</t>
  </si>
  <si>
    <t>Whirling Ovation</t>
  </si>
  <si>
    <t>Anticipation charges on dealing damage
Variable rocket damage based on charge
Doesn't need to reload</t>
  </si>
  <si>
    <t>Wolfsbane</t>
  </si>
  <si>
    <t>Spawns Quicksilver nanites that heal on hit
Full charge from light attacks gives bonus damage
Charged heavy attack creates flaming cyclone</t>
  </si>
  <si>
    <t>55</t>
  </si>
  <si>
    <t>add clear
DPS</t>
  </si>
  <si>
    <t>Freeze AoE on kill
Kills refill 10 ammo
Will Given Form super drain damage mode</t>
  </si>
  <si>
    <t>25</t>
  </si>
  <si>
    <t>DPS
add clear</t>
  </si>
  <si>
    <t>6x 10s DoT arc traps
Stacks 2x on a single target</t>
  </si>
  <si>
    <t>26</t>
  </si>
  <si>
    <t>0.8-2% Super energy, 20-100% damage on kill for 7.5s
Kills refill mag
3 kills within 7.5s create explosion</t>
  </si>
  <si>
    <t>27</t>
  </si>
  <si>
    <t>Unstoppable
45% damage and 0.85x charge on melee for 8.5s
One-Two Punch for 2.7s on majority of bolts hit</t>
  </si>
  <si>
    <t>28</t>
  </si>
  <si>
    <t>11 HP on hit, Devour on 4 minor or 1 major kill
5s weaken on hit with Devour up</t>
  </si>
  <si>
    <t>29</t>
  </si>
  <si>
    <t>Lightning storm and Bolt Charge on 3 precision hits or kill
Triple Tap</t>
  </si>
  <si>
    <t>30</t>
  </si>
  <si>
    <t>DPS
utility</t>
  </si>
  <si>
    <t>Freeze + ignite on 10 pellets hit</t>
  </si>
  <si>
    <t>61</t>
  </si>
  <si>
    <t>Target analysis
Jolt and ~55.5% crit damage after aiming for 0.5s
15% damage after 5 hits near teammate, team buff</t>
  </si>
  <si>
    <t>31</t>
  </si>
  <si>
    <t>The Fundamentals
Wide triple shot wave frame
Demolitionist</t>
  </si>
  <si>
    <t>13</t>
  </si>
  <si>
    <t>Mini bubble that provides 5% stackable buff</t>
  </si>
  <si>
    <t>34</t>
  </si>
  <si>
    <t>Eriana's Vow</t>
  </si>
  <si>
    <t>Anti-Barrier, ignition on matched/champ shield break
First shot and subsequent crits do 32.5% damage
Auto-Loading Holster</t>
  </si>
  <si>
    <t>70</t>
  </si>
  <si>
    <t>3 threadlings every 2 crit bursts
Up to 50% damage at 25 threadling hits</t>
  </si>
  <si>
    <t>7</t>
  </si>
  <si>
    <t>Grand Overture</t>
  </si>
  <si>
    <t>Hit count-based volley of blinding missiles</t>
  </si>
  <si>
    <t>36</t>
  </si>
  <si>
    <t>Guidance ring after 6 crits or 6 kills or 3 crit kills
Buffs allied bows, up to 3 rings stack
0.5x draw time and 100 reload after seeker hits</t>
  </si>
  <si>
    <t>18</t>
  </si>
  <si>
    <t>Gets ammo on kills from other sources
Explosion on kill, ignition on shatter or precision kill
Stasis-debuffed hits give 1 ammo per 2 shots</t>
  </si>
  <si>
    <t>37</t>
  </si>
  <si>
    <t>7x damage Honed Edge shot</t>
  </si>
  <si>
    <t>19</t>
  </si>
  <si>
    <t>3.5x damage ricocheting bullets every 7 shots
Orbs give 7 enhanced ricocheting rounds
Shoot to Loot</t>
  </si>
  <si>
    <t>20</t>
  </si>
  <si>
    <t>2 Remnants on kill
Single target 35% buff Noble Rounds</t>
  </si>
  <si>
    <t>8</t>
  </si>
  <si>
    <t>Asymptotically stacking durationless on-crit buff
Sprint cancellable bolt-action firing</t>
  </si>
  <si>
    <t>9</t>
  </si>
  <si>
    <t>Nanite spawn on precision hits</t>
  </si>
  <si>
    <t>89</t>
  </si>
  <si>
    <t>Stasis crystal projectiles</t>
  </si>
  <si>
    <t>22</t>
  </si>
  <si>
    <t>Scorching explosions on kill</t>
  </si>
  <si>
    <t>46</t>
  </si>
  <si>
    <t>Tessellation</t>
  </si>
  <si>
    <t>Explosive projectile on grenade consumption</t>
  </si>
  <si>
    <t>23</t>
  </si>
  <si>
    <t>Increased damage on successive shots</t>
  </si>
  <si>
    <t>50</t>
  </si>
  <si>
    <t>Overload
Ramping fire rate
Lightning strike every 13 hits or kill</t>
  </si>
  <si>
    <t>53</t>
  </si>
  <si>
    <t>Spread bolts
Allied Void Overshield on block
Full energy on overshield melee kill</t>
  </si>
  <si>
    <t>56</t>
  </si>
  <si>
    <t>Anti-Barrier, one shots elemental shields
Genesis, Disruption Break</t>
  </si>
  <si>
    <t>12</t>
  </si>
  <si>
    <t>Stored hits converted into high-damage seekers
Reloads quickly while stowed
Several selectable catalysts/traits</t>
  </si>
  <si>
    <t>58</t>
  </si>
  <si>
    <t>Charge-based Ionic Trace generation and damage scaling</t>
  </si>
  <si>
    <t>59</t>
  </si>
  <si>
    <t>Cycles debuffs on-hit and transfers them
20% damage for 15s with Void Leech active
Void buffs refill mag</t>
  </si>
  <si>
    <t>63</t>
  </si>
  <si>
    <t>Falling tracking height-scaled projectiles</t>
  </si>
  <si>
    <t>64</t>
  </si>
  <si>
    <t>Delicate Tomb</t>
  </si>
  <si>
    <t>Jolt, 2x damage, and partial refill on Ionic Trace pickup
Kills have Ionic Trace spawn chance</t>
  </si>
  <si>
    <t>33</t>
  </si>
  <si>
    <t>Embeds a continuously igniting projectile
Auto-loads upon reaching 5 stacks (2 ignitions)</t>
  </si>
  <si>
    <t>67</t>
  </si>
  <si>
    <t>Duality</t>
  </si>
  <si>
    <t>Dual pellet/slug mode
On Black Wings stacking damage perk</t>
  </si>
  <si>
    <t>71</t>
  </si>
  <si>
    <t>Ex Diris</t>
  </si>
  <si>
    <t>Enrage-based fire rate buff
Never reloads
Amplified and overshield/blind moths on kill</t>
  </si>
  <si>
    <t>72</t>
  </si>
  <si>
    <t>50% damage boost and ammo refund on 4 kills</t>
  </si>
  <si>
    <t>35</t>
  </si>
  <si>
    <t>Unraveling tracking projectile burst
100% crit damage on ADS</t>
  </si>
  <si>
    <t>74</t>
  </si>
  <si>
    <t>Forerunner</t>
  </si>
  <si>
    <t>Special grenade on kill-reload</t>
  </si>
  <si>
    <t>17</t>
  </si>
  <si>
    <t>Graviton Spike</t>
  </si>
  <si>
    <t>3 crits or kills overcharge 3 shots of alternate mode
Stasis spawns crystals, Arc has lightning
Temporal Alignment: 20% damage on both overcharges</t>
  </si>
  <si>
    <t>76</t>
  </si>
  <si>
    <t>utility
DPS</t>
  </si>
  <si>
    <t>Invisibility and weaken on heavy attack
25% damage boost for 2.5s after invisibility ends
50%? movement speed while invisible</t>
  </si>
  <si>
    <t>Heirloom</t>
  </si>
  <si>
    <t>3 tier ADS time to charge explosive bolt
Intrinsic Unstoppable
Heat-based exhaust</t>
  </si>
  <si>
    <t>38</t>
  </si>
  <si>
    <t>Overload
Unrelenting
Poison spread on perfect draw</t>
  </si>
  <si>
    <t>77</t>
  </si>
  <si>
    <t>Unstoppable
Volatile void blast on perfect draw hit
Archer's Tempo</t>
  </si>
  <si>
    <t>40</t>
  </si>
  <si>
    <t>Unstoppable
5 shot embedded explosion
Increased damage against Taken / Witherhoard blights</t>
  </si>
  <si>
    <t>41</t>
  </si>
  <si>
    <t>Conserve Momentum charge time reduction on hit
Impetus damage buff on kill-reload</t>
  </si>
  <si>
    <t>80</t>
  </si>
  <si>
    <t>5x damage to shields
Super energy on kills
20% damage for 20s after super end</t>
  </si>
  <si>
    <t>42</t>
  </si>
  <si>
    <t>Chance to return melee on kill
Bayonet at Markov Chain x5</t>
  </si>
  <si>
    <t>21</t>
  </si>
  <si>
    <t>Cursed Thrall explosion on precision or Cursed Thrall kill
Outlaw, One for Thrall</t>
  </si>
  <si>
    <t>Embedding projectiles that detonate on alternate fire
Suspends on 2 shots detonated
Detonations unravel</t>
  </si>
  <si>
    <t>82</t>
  </si>
  <si>
    <t>Poison spread on tracking projectile hits</t>
  </si>
  <si>
    <t>83</t>
  </si>
  <si>
    <t>Scorching explosive round on four precision hits
Dragonfly</t>
  </si>
  <si>
    <t>84</t>
  </si>
  <si>
    <t>Ramping scorching beam
Incandescent</t>
  </si>
  <si>
    <t>85</t>
  </si>
  <si>
    <t>Grenade charges on hit
Nanotech Tracer Missiles</t>
  </si>
  <si>
    <t>43</t>
  </si>
  <si>
    <t>Rat Pack fire rate and mag increase
Invisibility and regen on kill</t>
  </si>
  <si>
    <t>86</t>
  </si>
  <si>
    <t>Heal Clip with reload boost and Cure x2 on kill
Increased damage as health lowers
Spawns ToF healing grenade on 3 kills</t>
  </si>
  <si>
    <t>87</t>
  </si>
  <si>
    <t>Anti-Barrier
Hunter's Trace sniper shots on precision hits</t>
  </si>
  <si>
    <t>44</t>
  </si>
  <si>
    <t>Arc Conductor chain lightning and DR shield</t>
  </si>
  <si>
    <t>Service of Luzaku</t>
  </si>
  <si>
    <t>Kills create nests that generate threadlings
Nests that last for 20s can be converted into tangles
Refill on hip-fire healing allies or nests</t>
  </si>
  <si>
    <t>90</t>
  </si>
  <si>
    <t>Slayer's Fang</t>
  </si>
  <si>
    <t>Overload
15% damage, ? reload, Weaken for 7s on kill, Void Breach, or allied Slayer's Fang kill</t>
  </si>
  <si>
    <t>91</t>
  </si>
  <si>
    <t>Sleeper Simulant</t>
  </si>
  <si>
    <t>Overpenetrating and reflecting shots</t>
  </si>
  <si>
    <t>45</t>
  </si>
  <si>
    <t>Ravenous Beast fire rate increase on damage
50% Solar resist while Ravenous Beast is active</t>
  </si>
  <si>
    <t>47</t>
  </si>
  <si>
    <t>Full reload and pre-nerf Rampage on kill
Fire rate increase over time
Kinetic Tremors</t>
  </si>
  <si>
    <t>93</t>
  </si>
  <si>
    <t>Barrier
Banshee's Wail damage ramping on hit
Heal on hit</t>
  </si>
  <si>
    <t>95</t>
  </si>
  <si>
    <t>The Manticore</t>
  </si>
  <si>
    <t>Special hover mode charged on hits
Up to 100% damage while hovering
Partial refund on airborne kill and 15HP Void Overshield</t>
  </si>
  <si>
    <t>97</t>
  </si>
  <si>
    <t>Dual mode blinding/adaptive burst linear</t>
  </si>
  <si>
    <t>129</t>
  </si>
  <si>
    <t>Tracking rocket volley
Grants allies Bolt Charge per 2 rockets fired</t>
  </si>
  <si>
    <t>48</t>
  </si>
  <si>
    <t>Third Iteration</t>
  </si>
  <si>
    <t>Mark on ADS, invis on marked or concentrated crit kill
Extra damage to marked targets
Weaken splash on concentrated crit kill</t>
  </si>
  <si>
    <t>51</t>
  </si>
  <si>
    <t>Sacred Flame on hip-fire hit
Detonation on aimed shots</t>
  </si>
  <si>
    <t>52</t>
  </si>
  <si>
    <t>Ramping damage and scorch application</t>
  </si>
  <si>
    <t>98</t>
  </si>
  <si>
    <t>Charged with Blight on 10 precision hits
Increased final round damage</t>
  </si>
  <si>
    <t>101</t>
  </si>
  <si>
    <t>Hail Barrage crystal generation stacks on kill</t>
  </si>
  <si>
    <t>102</t>
  </si>
  <si>
    <t>Overcharge linear shots on kill stacks</t>
  </si>
  <si>
    <t>104</t>
  </si>
  <si>
    <t>Whispered Breathing damage increase on ADS</t>
  </si>
  <si>
    <t>105</t>
  </si>
  <si>
    <t>Wicked Implement</t>
  </si>
  <si>
    <t>Creeping Attrition slow crits on 3 precision hits
Stasis shard on Creeping Attrition kill
Headstone</t>
  </si>
  <si>
    <t>106</t>
  </si>
  <si>
    <t>Winterbite</t>
  </si>
  <si>
    <t>Freezing explosive projectiles
50% melee damage boost while loaded</t>
  </si>
  <si>
    <t>109</t>
  </si>
  <si>
    <t>Poisoning direct shots do DoT over 9.5s
Poisoning ground pools do DoT over 4.5s</t>
  </si>
  <si>
    <t>110</t>
  </si>
  <si>
    <t>Solar explosive rounds</t>
  </si>
  <si>
    <t>111</t>
  </si>
  <si>
    <t>Ace of Spades</t>
  </si>
  <si>
    <t>50% Kill Clip for 6 shots
Firefly</t>
  </si>
  <si>
    <t>112</t>
  </si>
  <si>
    <t>Black Talon</t>
  </si>
  <si>
    <t>Void projectiles on heavy
10% extra damage per Void debuff</t>
  </si>
  <si>
    <t>57</t>
  </si>
  <si>
    <t>Borealis</t>
  </si>
  <si>
    <t>The Fundamentals
~37% damage for 5 shots and mag refill on matched shield break</t>
  </si>
  <si>
    <t>113</t>
  </si>
  <si>
    <t>Centrifuse</t>
  </si>
  <si>
    <t>Movement-based charged blinding explosions
Passive charge</t>
  </si>
  <si>
    <t>114</t>
  </si>
  <si>
    <t>Cerberus+1</t>
  </si>
  <si>
    <t>4 barrels
50% damage and reduced spread for 7s on special kill-reload</t>
  </si>
  <si>
    <t>115</t>
  </si>
  <si>
    <t>Health and regen on kills
Refill on precision kill</t>
  </si>
  <si>
    <t>60</t>
  </si>
  <si>
    <t>Freeze burst alt mode on kill
Mag refill on frozen kill</t>
  </si>
  <si>
    <t>62</t>
  </si>
  <si>
    <t>Dead Man's Tale</t>
  </si>
  <si>
    <t>Up to 0.86x reload duration on precision hit
28% damage at 5 stacks
Reloads mag proportionally based on stacks</t>
  </si>
  <si>
    <t>65</t>
  </si>
  <si>
    <t>Volatile every 4th shot
Weaken every 16th shot
Anti-Barrier</t>
  </si>
  <si>
    <t>66</t>
  </si>
  <si>
    <t>Devil's Ruin</t>
  </si>
  <si>
    <t>Unstoppable
Charged burst on Firesprite pickup</t>
  </si>
  <si>
    <t>68</t>
  </si>
  <si>
    <t>Edge of Concurrence</t>
  </si>
  <si>
    <t>Chain lightning seeker</t>
  </si>
  <si>
    <t>69</t>
  </si>
  <si>
    <t>Edge of Intent</t>
  </si>
  <si>
    <t>Healing turret</t>
  </si>
  <si>
    <t>73</t>
  </si>
  <si>
    <t>Fighting Lion</t>
  </si>
  <si>
    <t>70 reload for 7s on damage dealt
24.5% damage to shields, Volatile on hit
Kills near Fighting Lion damage refill mag</t>
  </si>
  <si>
    <t>116</t>
  </si>
  <si>
    <t>Hard Light</t>
  </si>
  <si>
    <t>The Fundamentals
Buffed ricochet rounds</t>
  </si>
  <si>
    <t>75</t>
  </si>
  <si>
    <t>Hawkmoon</t>
  </si>
  <si>
    <t>Up to 1736% damage on final shot after 7 crits</t>
  </si>
  <si>
    <t>117</t>
  </si>
  <si>
    <t>Heir Apparent</t>
  </si>
  <si>
    <t>Spun-up arc shield</t>
  </si>
  <si>
    <t>118</t>
  </si>
  <si>
    <t>Jötunn</t>
  </si>
  <si>
    <t>Scorching tracking projectile
Cornered, Incandescent</t>
  </si>
  <si>
    <t>78</t>
  </si>
  <si>
    <t>Meter filled by doing Arc damage
Special reload to consume energy and jolt on hipfire hit
30% damage against Arc-debuffed enemies while ADS</t>
  </si>
  <si>
    <t>79</t>
  </si>
  <si>
    <t>Lorentz Driver</t>
  </si>
  <si>
    <t>Void implosion on kill
Lagrangian Sight target marking and ammo generation</t>
  </si>
  <si>
    <t>119</t>
  </si>
  <si>
    <t>MIDA Multi-Tool</t>
  </si>
  <si>
    <t>Movement bonus
Radar during ADS</t>
  </si>
  <si>
    <t>120</t>
  </si>
  <si>
    <t>No Time to Explain</t>
  </si>
  <si>
    <t>Time-slip portal on precision hits</t>
  </si>
  <si>
    <t>81</t>
  </si>
  <si>
    <t>One Thousand Voices</t>
  </si>
  <si>
    <t>10 bolt igniting solar explosion</t>
  </si>
  <si>
    <t>88</t>
  </si>
  <si>
    <t>Transmutation spheres on kill</t>
  </si>
  <si>
    <t>121</t>
  </si>
  <si>
    <t>Skyburner's Oath</t>
  </si>
  <si>
    <t>Hip-fired scorching slugs
+18% against Cabal</t>
  </si>
  <si>
    <t>122</t>
  </si>
  <si>
    <t>Sturm</t>
  </si>
  <si>
    <t>Overcharged rounds</t>
  </si>
  <si>
    <t>123</t>
  </si>
  <si>
    <t>SUROS Regime</t>
  </si>
  <si>
    <t>Ramping fire rate</t>
  </si>
  <si>
    <t>124</t>
  </si>
  <si>
    <t>Sweet Business</t>
  </si>
  <si>
    <t>Ramping fire rate
Occasional explosive round</t>
  </si>
  <si>
    <t>125</t>
  </si>
  <si>
    <t>Symmetry</t>
  </si>
  <si>
    <t>Tracking arc seekers
Dynamic charge stacks</t>
  </si>
  <si>
    <t>126</t>
  </si>
  <si>
    <t>Telesto</t>
  </si>
  <si>
    <t>Sticky proximity bolts
Special reload after 3 Void triple kills for bolt storm</t>
  </si>
  <si>
    <t>92</t>
  </si>
  <si>
    <t>The Chaperone</t>
  </si>
  <si>
    <t>The Roadborn precision damage buff</t>
  </si>
  <si>
    <t>127</t>
  </si>
  <si>
    <t>The Colony</t>
  </si>
  <si>
    <t>Seeking crawling arachnid projectiles</t>
  </si>
  <si>
    <t>128</t>
  </si>
  <si>
    <t>The Jade Rabbit</t>
  </si>
  <si>
    <t>Buffs body damage on precision hits</t>
  </si>
  <si>
    <t>94</t>
  </si>
  <si>
    <t>Fan Fire hip fire precision hit damage increase</t>
  </si>
  <si>
    <t>96</t>
  </si>
  <si>
    <t>Exploding submunition grenades</t>
  </si>
  <si>
    <t>49</t>
  </si>
  <si>
    <t>Poison on hit
Remnant on kill
Soul Devourer increased poison damage</t>
  </si>
  <si>
    <t>99</t>
  </si>
  <si>
    <t>Gathering Light stacks on kill
Full ability recharge on consuming 10 stacks</t>
  </si>
  <si>
    <t>130</t>
  </si>
  <si>
    <t>Trespasser</t>
  </si>
  <si>
    <t>Unrepentant boosted burst on kill-reload</t>
  </si>
  <si>
    <t>131</t>
  </si>
  <si>
    <t>Truth</t>
  </si>
  <si>
    <t>Aggressive tracking 3 shot mag</t>
  </si>
  <si>
    <t>100</t>
  </si>
  <si>
    <t>Multi-affinity trio of homing rockets
Applies suppression, scorch, and jolt</t>
  </si>
  <si>
    <t>132</t>
  </si>
  <si>
    <t>Vigilance Wing</t>
  </si>
  <si>
    <t>Regen on ally death
Stat boosts if solo</t>
  </si>
  <si>
    <t>103</t>
  </si>
  <si>
    <t>Oscillating damage level
Supercharged Battery suppression on orb pickup</t>
  </si>
  <si>
    <t>107</t>
  </si>
  <si>
    <t>Anti-Barrier
Vision through walls
Overpenetrating arrows</t>
  </si>
  <si>
    <t>108</t>
  </si>
  <si>
    <t>Wish-Keeper</t>
  </si>
  <si>
    <t>Precision hits and kills build up a suspending trap</t>
  </si>
  <si>
    <t>133</t>
  </si>
  <si>
    <t>Worldline Zero</t>
  </si>
  <si>
    <t>Tesseract blink attack after sprinting</t>
  </si>
  <si>
    <t>TITAN</t>
  </si>
  <si>
    <t>WARLOCK</t>
  </si>
  <si>
    <t>HUNTER</t>
  </si>
  <si>
    <t>ICON</t>
  </si>
  <si>
    <t>NAME</t>
  </si>
  <si>
    <t>DESCRIPTION</t>
  </si>
  <si>
    <t>RANK</t>
  </si>
  <si>
    <t>Synthoceps</t>
  </si>
  <si>
    <t>Buffed melee lunge distance
+200% melee, +50% super damage in 15m of 3 enemies</t>
  </si>
  <si>
    <t>Cenotaph Mask</t>
  </si>
  <si>
    <t>Refills traces over time
5 trace ticks on miniboss+ = team heavy, self special</t>
  </si>
  <si>
    <t>Assassin's Cowl</t>
  </si>
  <si>
    <t>Powered melee kill or finisher = health and invisibility</t>
  </si>
  <si>
    <t>Heart of Inmost Light</t>
  </si>
  <si>
    <t>Empowers other abilities on ability usage</t>
  </si>
  <si>
    <t>Sunbracers</t>
  </si>
  <si>
    <t>Fastball and +4s duration for solar grenades
Infinite solar grenade energy for 5s on powered melee kill</t>
  </si>
  <si>
    <t>Star-Eater Scales</t>
  </si>
  <si>
    <t>Orbs give +2% more super energy
4 orbs with full super = +70% super damage, overshield</t>
  </si>
  <si>
    <t>Stronghold</t>
  </si>
  <si>
    <t>Maxes sword guard-related stats
Massive DR, Perfect Guard, and zero drain on block
Restoration x2 on Perfect Guard consumption</t>
  </si>
  <si>
    <t>Vesper of Radius</t>
  </si>
  <si>
    <t>Faster class ability regen if surrounded by 3-6+ enemies
Rifts create blinding (Stormcaller) shockwaves every 5s</t>
  </si>
  <si>
    <t>Aeon Swift</t>
  </si>
  <si>
    <t>Force: weapon haste on crits, abilities on stun/kill
Insight: orb on 2 crit kills, ammo and 35% buff finishers
Vigor: class energy on ally death, team OS/heal on super</t>
  </si>
  <si>
    <t>Cuirass of the Falling Star</t>
  </si>
  <si>
    <t>Doubled Thundercrash damage
Distance-scaled overshield on Thundercrash</t>
  </si>
  <si>
    <t>Rain of Fire</t>
  </si>
  <si>
    <t>Fusion and linear kills give Radiant for 7.5s
Icarus Dash and Weavewalk refill all weapons</t>
  </si>
  <si>
    <t>Radiant Dance Machines</t>
  </si>
  <si>
    <t>Dodging within 15m of enemy: infinite dodges for 6s
Timer can be extended by 5s on kills</t>
  </si>
  <si>
    <t>Aeon Safe</t>
  </si>
  <si>
    <t>Lunafaction Boots</t>
  </si>
  <si>
    <t>100 reload and 0.9x reload duration in rifts and Wells
2x damage falloff for empowering rifts and Wells</t>
  </si>
  <si>
    <t>Foetracer</t>
  </si>
  <si>
    <t>x4 subclass surge for 10s on ability damage</t>
  </si>
  <si>
    <t>Ashen Wake</t>
  </si>
  <si>
    <t>Gives fusion grenades Fastball
Refunds fusion grenade energy on kill (rank-dependent)</t>
  </si>
  <si>
    <t>Verity's Brow</t>
  </si>
  <si>
    <t>Subclass-matched weapon kills grant Death Throes
+50% grenade regen and 20% damage per stack
Nearby allies get 10x grenade regen for 5s on grenade use</t>
  </si>
  <si>
    <t>Gyrfalcon's Hauberk</t>
  </si>
  <si>
    <t>Invisibility end = Volatile Rounds for 10s
Finisher while invis = 35% buff for 6s and team overshield
Reserve overshield gives 6x class regen until class used</t>
  </si>
  <si>
    <t>Armamentarium</t>
  </si>
  <si>
    <t>Two grenade charges</t>
  </si>
  <si>
    <t>Aeon Soul</t>
  </si>
  <si>
    <t>Celestial Nighthawk</t>
  </si>
  <si>
    <t>Golden Gun only fires once, but +37% overall damage</t>
  </si>
  <si>
    <t>Pyrogale Gauntlets</t>
  </si>
  <si>
    <t>Converts Burning Maul into +650% scorching slam
Consecration's ignite slam creates scorching DoT cyclone</t>
  </si>
  <si>
    <t>Fallen Sunstar</t>
  </si>
  <si>
    <t>Faster Ionic Traces that give 2x energy
Gives nearby allies 10% to all abilities on trace pickup</t>
  </si>
  <si>
    <t>ST0MP-EE5</t>
  </si>
  <si>
    <t>Dodge full = buffed sprint, slide, and jump height</t>
  </si>
  <si>
    <t>Hallowfire Heart</t>
  </si>
  <si>
    <t>Solar kills in sunspots make sunspots
+350% grenade and melee regen with full super</t>
  </si>
  <si>
    <t>Necrotic Grip</t>
  </si>
  <si>
    <t>Poison on melee hits
Poinsoned enemies spread poison on death</t>
  </si>
  <si>
    <t>Knucklehead Radar</t>
  </si>
  <si>
    <t>Enhanced radar while crouched
+1% damage per target health % under 30%</t>
  </si>
  <si>
    <t>An Insurmountable Skullfort</t>
  </si>
  <si>
    <t>Full refund and health regen on arc powered melee kills</t>
  </si>
  <si>
    <t>Contraverse Hold</t>
  </si>
  <si>
    <t>DR while charging void grenades
4s ICD +2000% 1.75s grenade regen on hit</t>
  </si>
  <si>
    <t>Blight Ranger</t>
  </si>
  <si>
    <t>No energy drain on Arc Staff block
Orbs on reflect and +650% reflected projectile damage</t>
  </si>
  <si>
    <t>Lion Rampant</t>
  </si>
  <si>
    <t>Hipfire in lift, +50 AE hipfire
All lift durations increased to 4s</t>
  </si>
  <si>
    <t>Boots of the Assembler</t>
  </si>
  <si>
    <t>Standing in rift creates healing/35% buff seekers
Allies standing in rift extend timer</t>
  </si>
  <si>
    <t>Lucky Pants</t>
  </si>
  <si>
    <t>Handling and ADS duration decrease for hand cannons
+60% HC damage per hit up to 600% for 5.5s
Cannot refresh for 10s after swap or timer end</t>
  </si>
  <si>
    <t>Phoenix Cradle</t>
  </si>
  <si>
    <t>Doubles Sol Invictus duration
Allied Sol Invictus (ability regen, super drain, Restoration)</t>
  </si>
  <si>
    <t>Felwinter's Helm</t>
  </si>
  <si>
    <t>Finisher/powered melee kill = 30% debuff/disorient nearby</t>
  </si>
  <si>
    <t>Renewal Grasps</t>
  </si>
  <si>
    <t>Duskfield radius +25%-50% (Touch of Winter)
25% DR in duskfields, enemies do 50% less</t>
  </si>
  <si>
    <t>Second Chance</t>
  </si>
  <si>
    <t>2 Anti-Barrier weakening Shield Throw charges
Refunds melee energy on Barrier stun</t>
  </si>
  <si>
    <t>Transversive Steps</t>
  </si>
  <si>
    <t>1.5s sprint = refills readied weapon
Buffs sprint speed, slide, and crouch</t>
  </si>
  <si>
    <t>Omnioculus</t>
  </si>
  <si>
    <t>Two smoke bomb charges
Invisibility gives 50% DR
Refunds 50% of melee per ally made invisible</t>
  </si>
  <si>
    <t>Doom Fang Pauldron</t>
  </si>
  <si>
    <t>Void multikills provide x1 surge
Powered void melee kills provide x4 surge and 20% super
Extends Sentinel Shield on shield throw hits</t>
  </si>
  <si>
    <t>Phoenix Protocol</t>
  </si>
  <si>
    <t>Up to 50% Well refund upon getting ~9 kills</t>
  </si>
  <si>
    <t>Orpheus Rig</t>
  </si>
  <si>
    <t>Up to 50% refund for Deadfall Tether on tethered enemies
Moebius Quiver fires an additional volley</t>
  </si>
  <si>
    <t>Eternal Warrior</t>
  </si>
  <si>
    <t>Arc multikills provide x1 surge
Overshield on Fists of Havoc cast
30s of x4 surge on Fists of Havoc end</t>
  </si>
  <si>
    <t>Ballidorse Wrathweavers</t>
  </si>
  <si>
    <t>2x Winter's Wrath shatter damage
Overshield and 15% stasis boost to allies near shockwave</t>
  </si>
  <si>
    <t>Athrys's Embrace</t>
  </si>
  <si>
    <t>Weighted throwing knives get additional bounce
3 crits = 3x knife damage + Unstoppable</t>
  </si>
  <si>
    <t>Icefall Mantle</t>
  </si>
  <si>
    <t>Stasis multilkills provide x1 surge
Class ability gives immobile overshield and x4 surge</t>
  </si>
  <si>
    <t>The Stag</t>
  </si>
  <si>
    <t>25% DR in rifts
50% class energy on critical
Healing rift on death</t>
  </si>
  <si>
    <t>Caliban's Hand</t>
  </si>
  <si>
    <t>Proximity explosive knife applies scorch on detonation
Proximity explosive knife kills ignite
+500% melee regen if knife is embedded</t>
  </si>
  <si>
    <t>The Path of Burning Steps</t>
  </si>
  <si>
    <t>Solar multikills give x1 surge
Getting frozen or solar grenade kill gives x4 surge
Reduced stasis effects</t>
  </si>
  <si>
    <t>Osmiomancy Gloves</t>
  </si>
  <si>
    <t>Two coldsnap grenade charges
Better coldsnap tracking, distance, and energy on hit</t>
  </si>
  <si>
    <t>Graviton Forfeit</t>
  </si>
  <si>
    <t>Invisibility gains 2s duration
100 recovery, 100 reload, 5x melee regen while invisible
7x to 9x melee regen if enemies nearby</t>
  </si>
  <si>
    <t>No Backup Plans</t>
  </si>
  <si>
    <t>Buffs reload for shotguns
+35% shotgun damage with Void Overshield
Overshield and regen on shotgun kills</t>
  </si>
  <si>
    <t>Starfire Protocol</t>
  </si>
  <si>
    <t>Two fusion grenade charges, +20% recharge rate
0.4s ICD 2.5% energy on empowered hit, 20% on kill
Full class ability on grenade kill</t>
  </si>
  <si>
    <t>The Dragon's Shadow</t>
  </si>
  <si>
    <t>Dodge = 100 handling/reload, buffed sprint/slide
Reloads all weapons on dodge (special animation)</t>
  </si>
  <si>
    <t>Wormgod Caress</t>
  </si>
  <si>
    <t>Max 275% melee or glaive melee damage at 5 melee kills</t>
  </si>
  <si>
    <t>Ophidian Aspect</t>
  </si>
  <si>
    <t>35 handling and 35 reload</t>
  </si>
  <si>
    <t>Liar's Handshake</t>
  </si>
  <si>
    <t>Taking or dealing melee = 3x melee and HP on hit
1.8x with One-Two Punch</t>
  </si>
  <si>
    <t>Abeyant Leap</t>
  </si>
  <si>
    <t>Drengr's Lash: 2 more lashes, more aggressive tracking
Woven Mail on suspend</t>
  </si>
  <si>
    <t>Briarbinds</t>
  </si>
  <si>
    <t>Longer Child of the Old Gods duration
Allows for Child redeployment</t>
  </si>
  <si>
    <t>Mask of Bakris</t>
  </si>
  <si>
    <t>Light Shift instead of dodge
x4 arc/stasis surge for 11s on shift</t>
  </si>
  <si>
    <t>Helm of Saint-14</t>
  </si>
  <si>
    <t>Blinds enemies near Sentinel Shield while blocking
Blinds enemies inside Ward of Dawn
Provides small overshield to allies that enter Ward of Dawn</t>
  </si>
  <si>
    <t>Winter's Guile</t>
  </si>
  <si>
    <t>Speedloader Slacks</t>
  </si>
  <si>
    <t>Buffed reload and handling for nearby allies on dodge</t>
  </si>
  <si>
    <t>ACD/0 Feedback Fence</t>
  </si>
  <si>
    <t>Armor Charge on melee, melee DR when charged
Consumes charges on receiving melee
Creates arc burst and jotls nearby targets</t>
  </si>
  <si>
    <t>Sanguine Alchemy</t>
  </si>
  <si>
    <t>Rifts grant x2 subclass surge
Infinite duration rifts on kills</t>
  </si>
  <si>
    <t>Oathkeeper</t>
  </si>
  <si>
    <t>10 draw time for bows
Bows can hold perfect draw indefinitely
Up to +150% impact damage to primary bows after 2s hold</t>
  </si>
  <si>
    <t>Severance Enclosure</t>
  </si>
  <si>
    <t>4s ICD explosion on powered melee or finisher kills</t>
  </si>
  <si>
    <t>Astrocyte Verse</t>
  </si>
  <si>
    <t>Longer blink
Enemies near blink become volatile</t>
  </si>
  <si>
    <t>Shards of Galanor</t>
  </si>
  <si>
    <t>Up to 50% refund for Blade Barrage on hits or kills</t>
  </si>
  <si>
    <t>Ursa Furiosa</t>
  </si>
  <si>
    <t>Buffed Sentinel Shield movement speed
Up to 50% Sentinel Shield refund after blocking damage</t>
  </si>
  <si>
    <t>Crown of Tempests</t>
  </si>
  <si>
    <t>Arc ability or jolt kills give ability regen timer
Increased Stormtrance duration</t>
  </si>
  <si>
    <t>Cyrtarachne's Facade</t>
  </si>
  <si>
    <t>Woven Mail on grapple</t>
  </si>
  <si>
    <t>Point-Contact Cannon Brace</t>
  </si>
  <si>
    <t>Melee energy on Thunderclap kills (rank-dependent)
Lightning strike and jolt on Thunderclap
Increased Thunderclap damage while Amplified</t>
  </si>
  <si>
    <t>Geomag Stabilizers</t>
  </si>
  <si>
    <t>Longer Chaos Reach duration
2% super on Ionic Trace pickup</t>
  </si>
  <si>
    <t>The Sixth Coyote</t>
  </si>
  <si>
    <t>Two dodge charges</t>
  </si>
  <si>
    <t>Dunemarchers</t>
  </si>
  <si>
    <t>Buffs sprint speed and slide
Chains lightning between enemies after sprinting</t>
  </si>
  <si>
    <t>Mantle of Battle Harmony</t>
  </si>
  <si>
    <t>Subclass-matching weapon kills give super every 2s
If super is full, x4 surge for 11s</t>
  </si>
  <si>
    <t>Young Ahamkara's Spine</t>
  </si>
  <si>
    <t>Fastball to all grenades
+14% tripmine damage, bigger explosion radius
Solar ability kills give 33% tripmine energy</t>
  </si>
  <si>
    <t>Peregrine Greaves</t>
  </si>
  <si>
    <t>2s sprint = 225% airborne shoulder charge damage</t>
  </si>
  <si>
    <t>Nezarec's Sin</t>
  </si>
  <si>
    <t>Void kills = +2.5s of 4x grenade/melee and 3x class/super</t>
  </si>
  <si>
    <t>Ophidia Spathe</t>
  </si>
  <si>
    <t>Two simultaneously charging solar melees</t>
  </si>
  <si>
    <t>Cadmus Ridge Lancecap</t>
  </si>
  <si>
    <t>Diamond Lances spawn crystals on impact
Spawns lance nearby on 3 crits behind rally barricade</t>
  </si>
  <si>
    <t>Getaway Artist</t>
  </si>
  <si>
    <t>Sentient Arc Soul and Amplified on grenade consume
5% grenade per burst from Sentient Arc Soul</t>
  </si>
  <si>
    <t>FR0ST-EE5</t>
  </si>
  <si>
    <t>Sprint = 2x ability regen
Dodge = improved sprint</t>
  </si>
  <si>
    <t>Hoarfrost-Z</t>
  </si>
  <si>
    <t>Replaces barricade with crystal wall
Barricade cooldown is set to Towering</t>
  </si>
  <si>
    <t>Karnstein Armlets</t>
  </si>
  <si>
    <t>50HP and 30HP/s for 8s on melee kill</t>
  </si>
  <si>
    <t>Raiju's Harness</t>
  </si>
  <si>
    <t>Decreases Arc Staff super drain
Early Arc Staff deactivation to conserve energy
Deactivation = blinds nearby enemies, x4 arc surge for 21s</t>
  </si>
  <si>
    <t>Mk. 44 Stand Asides</t>
  </si>
  <si>
    <t>Overshield on sprint with shoulder charge ready
50% refund on shoulder charge use (no kickstart)</t>
  </si>
  <si>
    <t>Swarmers</t>
  </si>
  <si>
    <t>Destroyed tangles spawn 2 threadlings
Threadlings unravel</t>
  </si>
  <si>
    <t>Triton Vice</t>
  </si>
  <si>
    <t>Glaive melee kills overflow mag by 1 ammo
50 reload and +30% glaive melee damage while surrounded
Subclass-matched glaive kills create explosions</t>
  </si>
  <si>
    <t>Crest of Alpha Lupi</t>
  </si>
  <si>
    <t>Team heal on barricade placement
Supers make one extra orb</t>
  </si>
  <si>
    <t>Eye of Another World</t>
  </si>
  <si>
    <t>Highlights low health targets
+50% ability regen</t>
  </si>
  <si>
    <t>Raiden Flux</t>
  </si>
  <si>
    <t>Increases Arc Staff damage and duration on hit</t>
  </si>
  <si>
    <t>Actium War Rig</t>
  </si>
  <si>
    <t>Reloads autos and LMGs</t>
  </si>
  <si>
    <t>Secant Filaments</t>
  </si>
  <si>
    <t>Empowering rifts grant Overload (Devour on Voidwalker)</t>
  </si>
  <si>
    <t>Mechaneer's Tricksleeves</t>
  </si>
  <si>
    <t>100 handling and reload for sidearms
Refill and 2x sidearm damage while critical</t>
  </si>
  <si>
    <t>Mask of the Quiet One</t>
  </si>
  <si>
    <t>Weapon kills heal to 70HP if critical
1s ICD +5% abilities when damaged</t>
  </si>
  <si>
    <t>Apotheosis Veil</t>
  </si>
  <si>
    <t>Nearby allies get +25% class regen
Full health and abilities on super cast</t>
  </si>
  <si>
    <t>Shinobu's Vow</t>
  </si>
  <si>
    <t>Two skip grenade charges
More aggressive skip drone tracking
Skip grenades give 4.2% grenade per hit</t>
  </si>
  <si>
    <t>Khepri's Horn</t>
  </si>
  <si>
    <t>Scorching boomerang wave from barricades
25% class energy on solar kills</t>
  </si>
  <si>
    <t>Dawn Chorus</t>
  </si>
  <si>
    <t>Scorch deals 3x damage and 5% melee per tick
90% increased Daybreak damage</t>
  </si>
  <si>
    <t>Lucky Raspberry</t>
  </si>
  <si>
    <t>Arcbolt grenades chain more and disrupt
20% grenade return on jolt chain
5% grenade return on Ionic Trace pickup</t>
  </si>
  <si>
    <t>One-Eyed Mask</t>
  </si>
  <si>
    <t>Marks enemies on receiving damage
Overshield on killing marked enemy</t>
  </si>
  <si>
    <t>Stormdancer's Brace</t>
  </si>
  <si>
    <t>Stormtrance kills increase damage up to 2x
Up to 50% Stormtrance refund on kills</t>
  </si>
  <si>
    <t>The Bombardiers</t>
  </si>
  <si>
    <t>Subclass-matched explosive dropped on dodge</t>
  </si>
  <si>
    <t>Precious Scars</t>
  </si>
  <si>
    <t>Overshield on being revived or reviving ally
Subclass-matched weapon kills give +60HP to team</t>
  </si>
  <si>
    <t>Claws of Ahamkara</t>
  </si>
  <si>
    <t>Two melee charges
Heavy Handed</t>
  </si>
  <si>
    <t>Khepri's Sting</t>
  </si>
  <si>
    <t>Powered melee casts +50% damage smoke bomb
Smoke bomb damage = Truesight for 3s
6x melee regen while smoke bomb is active</t>
  </si>
  <si>
    <t>Loreley Splendor Helm</t>
  </si>
  <si>
    <t>Barricades or crit health spawn Sol Invictus sunspot</t>
  </si>
  <si>
    <t>Chromatic Fire</t>
  </si>
  <si>
    <t>Subclass-matched explosion on kinetic precision kill</t>
  </si>
  <si>
    <t>Gemini Jester</t>
  </si>
  <si>
    <t>Disorients nearby enemies for 5s on dodge</t>
  </si>
  <si>
    <t>Arbor Warden</t>
  </si>
  <si>
    <t>Using barricade turns grenade into Barri-Nade
Thrown Barri-Nades disorients nearby enemies</t>
  </si>
  <si>
    <t>Skull of Dire Ahamkara</t>
  </si>
  <si>
    <t>Huge DR on Nova Bomb cast
Up to 50% Nova Bomb refund on kills</t>
  </si>
  <si>
    <t>Wormhusk Crown</t>
  </si>
  <si>
    <t>67HP on dodge</t>
  </si>
  <si>
    <t>Antaeus Wards</t>
  </si>
  <si>
    <t>Sliding creates reflective shield but drains class energy</t>
  </si>
  <si>
    <t>Nothing Manacles</t>
  </si>
  <si>
    <t>Two scatter grenade charges
Scatters get Chaos Accelerant effect</t>
  </si>
  <si>
    <t>Sealed Ahamkara Grasps</t>
  </si>
  <si>
    <t>Melee hit = equipped weapon refill
Powered melee kill = all weapons refilled
7s ICD</t>
  </si>
  <si>
    <t>Peacekeepers</t>
  </si>
  <si>
    <t>Buffs handling and movement for SMGs
Reloads stowed SMGs</t>
  </si>
  <si>
    <t>Wings of Sacred Dawn</t>
  </si>
  <si>
    <t>Holds you midair while ADS'd
15% DR and Solar weapon reloads on kllls midair</t>
  </si>
  <si>
    <t>Mothkeeper's Wraps</t>
  </si>
  <si>
    <t>Grenade replaced with 2 moth cages
Moths blind enemies and deal arc grenade damage
Moths can also give small void overshield to allies</t>
  </si>
  <si>
    <t>Citan's Ramparts</t>
  </si>
  <si>
    <t>Towering Barricade has low health but can be shot through</t>
  </si>
  <si>
    <t>Promethium Spur</t>
  </si>
  <si>
    <t>Daybreak kills spawn both rift types on corpse
Solar weapon kills give class energy
Kills in rift with full class energy spawn dual rifts on corpse</t>
  </si>
  <si>
    <t>Gwisin Vest</t>
  </si>
  <si>
    <t>Extends Spectral Blade on super kills</t>
  </si>
  <si>
    <t>CLASS</t>
  </si>
  <si>
    <t>EFFECT</t>
  </si>
  <si>
    <t>FLEX</t>
  </si>
  <si>
    <t>SPEED</t>
  </si>
  <si>
    <t>POWER</t>
  </si>
  <si>
    <t>Force: weapon haste/abilities/major debuff on crits/stun
Insight: orb on 2 crit kills, ammo and super finishers
Vigor: class energy/DR on ally death, DR for critical allies</t>
  </si>
  <si>
    <t>N</t>
  </si>
  <si>
    <t>Golden Gun only fires once, but +72% overall damage
1.5 to 4.5% super energy on precision kills</t>
  </si>
  <si>
    <t>Two simultaneously charging solar melees
30-100% extra throwing knife damage, stacks on kill</t>
  </si>
  <si>
    <t>Up to 50% refund for Blade Barrage on hits or kills
Throwing knife kills give super energy</t>
  </si>
  <si>
    <t>M</t>
  </si>
  <si>
    <t>Glaive melee kills overflow mag by 1 ammo
50 reload and +100% surrounded glaive melee damage
Subclass-matched glaive kills create explosions</t>
  </si>
  <si>
    <t>T</t>
  </si>
  <si>
    <t>Overshield on being revived or reviving ally
Subclass-matched weapon kills give Restoration for 3s</t>
  </si>
  <si>
    <t>Max 275% melee or glaive melee damage at 5 melee kills
Stacks have gradual meter</t>
  </si>
  <si>
    <t>W</t>
  </si>
  <si>
    <t>Full health and abilities on super cast
66% grenade/melee per second on super cast for 8s</t>
  </si>
  <si>
    <t>2x Winter's Wrath shatter damage
Overshield and x4 stasis surge to allies near shockwave
Frostpulse rifts give 2x surge and overshield</t>
  </si>
  <si>
    <t>Increased Child of the Old Gods duration, DR, and damage
Allows for Child redeployment</t>
  </si>
  <si>
    <t>x3 Cure and 8s of Restoration x1 on melee kill
x3 Cure and 8s of Restoration x2 on finisher kill</t>
  </si>
  <si>
    <t>SUBCLASS</t>
  </si>
  <si>
    <t>ASPECTS</t>
  </si>
  <si>
    <t>FRAGMENTS</t>
  </si>
  <si>
    <t>GRENADE</t>
  </si>
  <si>
    <t>MELEE</t>
  </si>
  <si>
    <t>Trigger</t>
  </si>
  <si>
    <t>Enhancement</t>
  </si>
  <si>
    <t>Readying sword
3s ICD</t>
  </si>
  <si>
    <t>80% increased lunge for 1s</t>
  </si>
  <si>
    <t>20% extra lunge
0.5s duration</t>
  </si>
  <si>
    <t>defines an entire subset of endgame PvE</t>
  </si>
  <si>
    <t>irreplaceable; transforms how a weapon functions in the sandbox</t>
  </si>
  <si>
    <t>refill</t>
  </si>
  <si>
    <t>Dealing damage with both other weapons, then readying</t>
  </si>
  <si>
    <t>Refills mag</t>
  </si>
  <si>
    <t>20 ammo generation</t>
  </si>
  <si>
    <t>class-agnostic BnS-compatible reloads and a lot of free ammo gen</t>
  </si>
  <si>
    <t>best-in-slot and excellent effects</t>
  </si>
  <si>
    <t>55% of mag hit + 2, rounded down (bows: 5, swords: 6)</t>
  </si>
  <si>
    <t>Creates an 0.8% Super Orb of Power</t>
  </si>
  <si>
    <t>0.3% more Super</t>
  </si>
  <si>
    <t>extremely potent orb generation on certain weapon types</t>
  </si>
  <si>
    <t>situationally outstanding effects or worse A alternatives</t>
  </si>
  <si>
    <t>overflow
ammo</t>
  </si>
  <si>
    <t>4 precision hits with 2s between</t>
  </si>
  <si>
    <t>2 ammo refund</t>
  </si>
  <si>
    <t>1s extra time</t>
  </si>
  <si>
    <t>nearly doubles total damage and mag size at the same time</t>
  </si>
  <si>
    <t>core sustained and spree perks</t>
  </si>
  <si>
    <t>sustained</t>
  </si>
  <si>
    <t>Damage to elemental-debuffed target</t>
  </si>
  <si>
    <t>10/20/30% (1/2/3 debuffs) for 3s</t>
  </si>
  <si>
    <t>10% damage on buffed portion</t>
  </si>
  <si>
    <t>BnS replacement that works on first shot, great for fireteams, less so for solo</t>
  </si>
  <si>
    <t>solid effects but niche or overshadowed</t>
  </si>
  <si>
    <t>Dealing different elemental damage (5 stacks)</t>
  </si>
  <si>
    <t>Up to 35% damage for 20s (40% for kinetics)</t>
  </si>
  <si>
    <t>3s duration</t>
  </si>
  <si>
    <t>very mediocre or extremely niche</t>
  </si>
  <si>
    <t>Kill-reload within 5.3s</t>
  </si>
  <si>
    <t>x2 Cure for player
x1 Cure to allies within ?m</t>
  </si>
  <si>
    <t>?s kill-reload time</t>
  </si>
  <si>
    <t>subclass-agnostic survivability and Benevolence procs</t>
  </si>
  <si>
    <t>technically positive PvE effects but no real use</t>
  </si>
  <si>
    <t>6 healing hits on allies within 1s of each</t>
  </si>
  <si>
    <t>Restoration x1 for 4-6s for user</t>
  </si>
  <si>
    <t>0.5s with Solace
1s without</t>
  </si>
  <si>
    <t>BiS support auto perk, doubles its use cases</t>
  </si>
  <si>
    <t>PvP perks / no real PvE benefit</t>
  </si>
  <si>
    <t>Damage with all weapons (7s max between)</t>
  </si>
  <si>
    <t>30% damage for 10s</t>
  </si>
  <si>
    <t>1s duration</t>
  </si>
  <si>
    <t>lower setup alternative to Elemental Honing</t>
  </si>
  <si>
    <t>Collective Demolition</t>
  </si>
  <si>
    <t>ability</t>
  </si>
  <si>
    <t>Gear Shift</t>
  </si>
  <si>
    <t>sustained
spree</t>
  </si>
  <si>
    <t>reload</t>
  </si>
  <si>
    <t>Lucky Shot</t>
  </si>
  <si>
    <t>Mega Kill Clip</t>
  </si>
  <si>
    <t>spree</t>
  </si>
  <si>
    <t>12 pellets of shotgun hit</t>
  </si>
  <si>
    <t>10 pellets</t>
  </si>
  <si>
    <t>foundation of various meta-defining melee builds</t>
  </si>
  <si>
    <t>splash</t>
  </si>
  <si>
    <t>Weapon kill
1.5 ICD</t>
  </si>
  <si>
    <t>Volatile explosion
Volatile Rounds for 2s on kill splash hit</t>
  </si>
  <si>
    <t>?s reduced ICD</t>
  </si>
  <si>
    <t>probably the best on-kill splash effect in the game</t>
  </si>
  <si>
    <t>1.5s ADS without firing</t>
  </si>
  <si>
    <t>Weaken applied on next shot</t>
  </si>
  <si>
    <t>1.4s ADS?</t>
  </si>
  <si>
    <t>best universally applicable debuff extension packed into a legendary perk</t>
  </si>
  <si>
    <t>Multiple hits on enemy within 3s</t>
  </si>
  <si>
    <t>3 shockwaves under target</t>
  </si>
  <si>
    <t>Reduced hit count</t>
  </si>
  <si>
    <t>versatile: add clear, major chip, and even boss damage</t>
  </si>
  <si>
    <t>Reaper's Tithe</t>
  </si>
  <si>
    <t>burst
spree</t>
  </si>
  <si>
    <t>Simultaneous kills (4 stacks)
Timer starts upon firing</t>
  </si>
  <si>
    <t>20-40% damage for 15s, kills extend by 6s</t>
  </si>
  <si>
    <t>2s duration</t>
  </si>
  <si>
    <t>best non-Surrounded burst perk, potentially great for roam too</t>
  </si>
  <si>
    <t>Melee damage</t>
  </si>
  <si>
    <t>50% damage, 30 handling, 30 reload for 5s or 3 shots</t>
  </si>
  <si>
    <t>5 stats</t>
  </si>
  <si>
    <t>extremely high damage boost for now-ranged melee options</t>
  </si>
  <si>
    <t>Multiple hits within ?s, reduced if amplified</t>
  </si>
  <si>
    <t>Inflicts jolt</t>
  </si>
  <si>
    <t>Less hits needed if not amplified</t>
  </si>
  <si>
    <t>on-hit champ stun, stagger, and decent add clear</t>
  </si>
  <si>
    <t>overflow</t>
  </si>
  <si>
    <t>Emptying mag</t>
  </si>
  <si>
    <t>60% of hits refilled, hits within 1s of proc don't count</t>
  </si>
  <si>
    <t>70% of hits</t>
  </si>
  <si>
    <t>almost Envious Assassin with zero setup requirement</t>
  </si>
  <si>
    <t>sustained
utility</t>
  </si>
  <si>
    <t>In combat every 5s for 12s
Above requirement for additional 12s</t>
  </si>
  <si>
    <t>20% damage for 7s
35% damage for 7s, 35 HP every 7s</t>
  </si>
  <si>
    <t>-0.5s combat duration</t>
  </si>
  <si>
    <t>highest non-Surrounded sustained damage, plus small health ticks</t>
  </si>
  <si>
    <t>Weapon kill</t>
  </si>
  <si>
    <t>30(40) scorch to enemies within 4-8m</t>
  </si>
  <si>
    <t>5 scorch</t>
  </si>
  <si>
    <t>excellent stagger and simple trigger splash damage</t>
  </si>
  <si>
    <t>≥50% mag</t>
  </si>
  <si>
    <t>x50 slow stacks (x40 for rapid fusions) on hit</t>
  </si>
  <si>
    <t>5 stability</t>
  </si>
  <si>
    <t>BiS Overload stun perk</t>
  </si>
  <si>
    <t>3? elemental final blows within ?s
Final blow on elemental-debuffed target
Up to 5 stacks</t>
  </si>
  <si>
    <t>Micro-missile launched from next kill</t>
  </si>
  <si>
    <t>slow missile but requirement is easy and damage is good with decent radius</t>
  </si>
  <si>
    <t>Next hit within 7s applies jolt</t>
  </si>
  <si>
    <t>1s proc duration</t>
  </si>
  <si>
    <t>decent staggering add clear with reduced uptime due to kill-reload requirement</t>
  </si>
  <si>
    <t>Weapon kill on void debuffed enemy</t>
  </si>
  <si>
    <t>45 HP Void Overshield for 8s</t>
  </si>
  <si>
    <t>sustain with Destabilizing Rounds and void builds</t>
  </si>
  <si>
    <t>ammo</t>
  </si>
  <si>
    <t>Power ammo pickup</t>
  </si>
  <si>
    <t>25% of special ammo filled (halved if 2 specials)</t>
  </si>
  <si>
    <t>15% more ammo</t>
  </si>
  <si>
    <t>allows for focus on heavy generation instead of special</t>
  </si>
  <si>
    <t>Elemental explosion on target</t>
  </si>
  <si>
    <t>20 guard endurance
20 ammo generation</t>
  </si>
  <si>
    <t>still decent splash post-nerf, but only really relevant on specials</t>
  </si>
  <si>
    <t>Class ability usage</t>
  </si>
  <si>
    <t>5 hits of Sever for 8s
Hits refresh duration</t>
  </si>
  <si>
    <t>0.5s extra time</t>
  </si>
  <si>
    <t>useful for severing boss-tier enemies for Courage and damage reduction</t>
  </si>
  <si>
    <t>reload
spree</t>
  </si>
  <si>
    <t>Hipfired precision hit</t>
  </si>
  <si>
    <t>?s reload, ?x reload duration, 0.4x draw time for 4s
Can be extended to 8s</t>
  </si>
  <si>
    <t>?s duration</t>
  </si>
  <si>
    <t>very significant on-hit draw time reduction</t>
  </si>
  <si>
    <t>reload
ammo</t>
  </si>
  <si>
    <t>Passive
Airborne</t>
  </si>
  <si>
    <t>20 ammo generation
30 reload, 0.8x reload duration</t>
  </si>
  <si>
    <t>10 ammo generation
5 reload</t>
  </si>
  <si>
    <t>Field Prep without the awkward reload requirement</t>
  </si>
  <si>
    <t>Passive
Crouching</t>
  </si>
  <si>
    <t>20 ammo generation
50 reload, 0.8x reload/ready/stow duration</t>
  </si>
  <si>
    <t>nice passive ammo generation gain</t>
  </si>
  <si>
    <t>Sword hit (10 stacks)</t>
  </si>
  <si>
    <t>3-30% damage for 3.5s</t>
  </si>
  <si>
    <t>0.5s duration</t>
  </si>
  <si>
    <t>BiS consistent sustained sword damage perk</t>
  </si>
  <si>
    <t>Weapon kill after initial activation</t>
  </si>
  <si>
    <t>? crystal spawned ?m away from enemy for 3s</t>
  </si>
  <si>
    <t>Large crystal</t>
  </si>
  <si>
    <t>like Headstone except works on any kill with slightly worse crystal placement</t>
  </si>
  <si>
    <t>refill
utility</t>
  </si>
  <si>
    <t>Shooting an ammo brick</t>
  </si>
  <si>
    <t>Picks up ammo and orbs and refills all weapons</t>
  </si>
  <si>
    <t>5 range</t>
  </si>
  <si>
    <t>QoL and damage rotation option in niche endgame damage scenarios</t>
  </si>
  <si>
    <t>Passive</t>
  </si>
  <si>
    <t>1 mag, 5 reserves, 0.75x firing delay
-30 blast, -20 reload, -25% damage</t>
  </si>
  <si>
    <t>5 blast, 5 reload</t>
  </si>
  <si>
    <t>solves rocket low shot count issue when combined with Pack Hunter, expands viability</t>
  </si>
  <si>
    <t>6 seconds without shooting</t>
  </si>
  <si>
    <t>25% mag refill, up to 100% overflow</t>
  </si>
  <si>
    <t>5.5 seconds</t>
  </si>
  <si>
    <t>free overflow despite massive time requirement</t>
  </si>
  <si>
    <t>Weapon stowed</t>
  </si>
  <si>
    <t>Refills weapon after 3.5s</t>
  </si>
  <si>
    <t>0.2s faster reload</t>
  </si>
  <si>
    <t>still provides high QoL on slow reload weapons even post-nerf</t>
  </si>
  <si>
    <t>10% to 50% mag overflow (rounds up)</t>
  </si>
  <si>
    <t>3% average</t>
  </si>
  <si>
    <t>like Ambitious Assassin but doesn't need kills to reach 2 mag on relevant weapons</t>
  </si>
  <si>
    <t>3 hits with 2s between</t>
  </si>
  <si>
    <t>1 ammo</t>
  </si>
  <si>
    <t>?s tolerance</t>
  </si>
  <si>
    <t>essential for sword total damage</t>
  </si>
  <si>
    <t>burst
splash</t>
  </si>
  <si>
    <t>Orb pickup (up to 6 stacks)</t>
  </si>
  <si>
    <t>~25-44% damage, 100 blast</t>
  </si>
  <si>
    <t>Up to 7 stacks</t>
  </si>
  <si>
    <t>decent to good damage, but dependent on either short phase or orb gen roam context</t>
  </si>
  <si>
    <t>burst</t>
  </si>
  <si>
    <t>Hits against minors (30 stacks, 2 per)</t>
  </si>
  <si>
    <t>2x damage against elites+ at 3 stacks or more, 3 stacks per hit consumed</t>
  </si>
  <si>
    <t>2 stacks consumed, 2 stacks for 2x damage</t>
  </si>
  <si>
    <t>excellent storable damage perk on DPS specials and wave frames</t>
  </si>
  <si>
    <t>splash
reload</t>
  </si>
  <si>
    <t>Precision kill</t>
  </si>
  <si>
    <t>Solar explosion on target, 50 reload for 6s</t>
  </si>
  <si>
    <t>5 reload</t>
  </si>
  <si>
    <t>decent splash with great reload, good slot efficiency</t>
  </si>
  <si>
    <t>Elemental kill (10 stacks)</t>
  </si>
  <si>
    <t>10-100% damage for 1 shot</t>
  </si>
  <si>
    <t>8 stacks</t>
  </si>
  <si>
    <t>enhances burst of weapons like slugs/aggressive snipers</t>
  </si>
  <si>
    <t>ability
refill</t>
  </si>
  <si>
    <t>Weapon kill
Grenade use, 3s ICD</t>
  </si>
  <si>
    <t>10-20% grenade energy
Weapon refill</t>
  </si>
  <si>
    <t>11-22% energy</t>
  </si>
  <si>
    <t>grenade regen and reload options less relevant than ever</t>
  </si>
  <si>
    <t>Reading within 5s or kill or precision hits with another weapon</t>
  </si>
  <si>
    <t>0.6x firing delay (0.7x for SMG/LMG) for 2.5s</t>
  </si>
  <si>
    <t>0.25s duration</t>
  </si>
  <si>
    <t>niche extreme burst DPS perk</t>
  </si>
  <si>
    <t>Weapon kill or all bolts hit</t>
  </si>
  <si>
    <t>20% damage, 0.9x charge for 2s</t>
  </si>
  <si>
    <t>extremely consistent sustained fusion damage</t>
  </si>
  <si>
    <t>Weapon kill
Grenade or melee kill</t>
  </si>
  <si>
    <t>10% damage for 7s
20-30% damage for 7s, refreshed by weapon</t>
  </si>
  <si>
    <t>very consistent spree perk in current sandbox, activates at tier 2 while stowed</t>
  </si>
  <si>
    <t>Kill-reload within ?s</t>
  </si>
  <si>
    <t>Kinetic blinding blast on next shot within 6s</t>
  </si>
  <si>
    <t>?s proc duration</t>
  </si>
  <si>
    <t>blind radius is too small to be strongly effective, nice compacting of blinding GL role</t>
  </si>
  <si>
    <t>Sharp Harvest</t>
  </si>
  <si>
    <t>3 powered hits with 1.5s between</t>
  </si>
  <si>
    <t>5% of special ammo given (halved with two specials)</t>
  </si>
  <si>
    <t>0.5s timer</t>
  </si>
  <si>
    <t>great on roam swords, potentially usable for damage</t>
  </si>
  <si>
    <t>~25%? extra special progress on kill, consumes stack</t>
  </si>
  <si>
    <t>decent but special ammo progress isn't a highly valued stat in endgame right now</t>
  </si>
  <si>
    <t>Impromptu Ammunition</t>
  </si>
  <si>
    <t>1.?x ammo generation scalar for ?s</t>
  </si>
  <si>
    <t>multiplicative ammo generation effect, doesn't seem as impactful as raw ammo generation boosts</t>
  </si>
  <si>
    <t>Miniboss, boss, or vehicle</t>
  </si>
  <si>
    <t>10-20% damage</t>
  </si>
  <si>
    <t>5 stability
5 guard resistance</t>
  </si>
  <si>
    <t>good on LP HCs and some specials</t>
  </si>
  <si>
    <t>35% velocity, 20 reload, 0.85x reload duration (0.8x on rockets)</t>
  </si>
  <si>
    <t>excellent zero requirement reload perk on certain weapon types</t>
  </si>
  <si>
    <t>sustained
reload</t>
  </si>
  <si>
    <t>Damage dealt/received every 5s for 12s</t>
  </si>
  <si>
    <t>15% damage, 100 handling, 100 reload for 7s</t>
  </si>
  <si>
    <t>all-in-one stat and damage package, just missing splash</t>
  </si>
  <si>
    <t>Within 8m of 3+ enemies, 1.5s linger</t>
  </si>
  <si>
    <t>35-40% damage</t>
  </si>
  <si>
    <t>42-47% damage</t>
  </si>
  <si>
    <t>surprisingly applicable in roam content, niche for sustained damage</t>
  </si>
  <si>
    <t>Healing ally</t>
  </si>
  <si>
    <t>3 HP per hit</t>
  </si>
  <si>
    <t>0.5 more HP</t>
  </si>
  <si>
    <t>essentially gives Restoration if held down</t>
  </si>
  <si>
    <t>15% damage, explosive detonation</t>
  </si>
  <si>
    <t>5 accuracy</t>
  </si>
  <si>
    <t>decent splash and consistent damage on bows</t>
  </si>
  <si>
    <t>utility
spree</t>
  </si>
  <si>
    <t>15% damage, explosive shot</t>
  </si>
  <si>
    <t>decent base damage, stagger, and champ stun interactions</t>
  </si>
  <si>
    <t>15% damage, delayed explosive shot</t>
  </si>
  <si>
    <t>Hitting 3 enemies with 3s between</t>
  </si>
  <si>
    <t>35% damage for 10s, non-refreshable</t>
  </si>
  <si>
    <t>great on splash weapons (compressed waves, area denials), decent otherwise</t>
  </si>
  <si>
    <t>Weapon kill (3 stacks)</t>
  </si>
  <si>
    <t>10-30% damage until stow/reload</t>
  </si>
  <si>
    <t>10 mag</t>
  </si>
  <si>
    <t>consistent spree damage with an overflow/refill perk</t>
  </si>
  <si>
    <t>Melee kill or powered melee damage, 3s ICD</t>
  </si>
  <si>
    <t>Mag refill</t>
  </si>
  <si>
    <t>5 handling</t>
  </si>
  <si>
    <t>BiS Trench and 12P reload perk</t>
  </si>
  <si>
    <t>spree
sustained</t>
  </si>
  <si>
    <t>Above enemy and grounded
Weapon kill (3 stacks)</t>
  </si>
  <si>
    <t>25% damage for 7s
10-25% damage for 7s</t>
  </si>
  <si>
    <t>like Rampage with sustainable duration and instant stack option</t>
  </si>
  <si>
    <t>Glaive projectile kill</t>
  </si>
  <si>
    <t>sustained glaive melee damage</t>
  </si>
  <si>
    <t>Bolt Scavenger</t>
  </si>
  <si>
    <t>Bolt pickup (scales with # grabbed)</t>
  </si>
  <si>
    <t>? handling and ? reload for up to 15s
Bypasses reload cap(?)</t>
  </si>
  <si>
    <t>apparently bypasses reload cap on crossbows, pretty noticeable</t>
  </si>
  <si>
    <t>Dealing damage (up to 12 stacks, hand cannons give 3 per hit)</t>
  </si>
  <si>
    <t>~4 handling and reload per stack for 2s (max 50)</t>
  </si>
  <si>
    <t>5 handling, 5 reload?</t>
  </si>
  <si>
    <t>like Rapid Hit but worse stats and no crit requirement</t>
  </si>
  <si>
    <t>Precision hit (5 stacks)</t>
  </si>
  <si>
    <t>5-60 reload, 0.92x reload duration, 2-25 stability for 2s</t>
  </si>
  <si>
    <t>best on-hit reload perk, requires crits</t>
  </si>
  <si>
    <t>Weapon hit (6 stacks)</t>
  </si>
  <si>
    <t>4-25% precision damage for 1.1s (2.1s for charged)</t>
  </si>
  <si>
    <t>Up to 30% damage</t>
  </si>
  <si>
    <t>like Focused Fury with higher peak damage but no swapping or reloading (without RoF and such)</t>
  </si>
  <si>
    <t>damage</t>
  </si>
  <si>
    <t>Ammo pickup, then weapon ready</t>
  </si>
  <si>
    <t>Refill and 35% damage for 9s (6s if special)</t>
  </si>
  <si>
    <t>1s duration?</t>
  </si>
  <si>
    <t>solid damage but bricks aren't as universal as BnS or Honing</t>
  </si>
  <si>
    <t>Within 15m of 2+ allies</t>
  </si>
  <si>
    <t>20% precision damage</t>
  </si>
  <si>
    <t>10 handling</t>
  </si>
  <si>
    <t>decent sustained damage perk in teams</t>
  </si>
  <si>
    <t>Precision hits for 50%+ mag</t>
  </si>
  <si>
    <t>20% damage for 11s</t>
  </si>
  <si>
    <t>refreshable, swappable, consistent solo sustained damage</t>
  </si>
  <si>
    <t>Blocking and taking damage</t>
  </si>
  <si>
    <t>1 ammo refilled, 1s ICD</t>
  </si>
  <si>
    <t>?s ICD</t>
  </si>
  <si>
    <t>ICD stops it from being useful</t>
  </si>
  <si>
    <t>Slide (0.3s ICD)</t>
  </si>
  <si>
    <t>15% mag refill, 20 range, 30 stability for 2.5s (shot 1)</t>
  </si>
  <si>
    <t>transformative for single shot weapon uptime, multishot slides</t>
  </si>
  <si>
    <t>Slide (0.5s ICD)</t>
  </si>
  <si>
    <t>15% mag refill, 20 stability, 20 handling for 3s</t>
  </si>
  <si>
    <t>5 stability, handling</t>
  </si>
  <si>
    <t>transformative for single shot weapon uptime</t>
  </si>
  <si>
    <t>25 hits within ?s of each</t>
  </si>
  <si>
    <t>Explosion around target (does ~6.5x base shot)</t>
  </si>
  <si>
    <t>5?s less hits</t>
  </si>
  <si>
    <t>neutral major shred trace perk</t>
  </si>
  <si>
    <t>Special or power ammo pickup</t>
  </si>
  <si>
    <t>Mag refill and 100% overflow</t>
  </si>
  <si>
    <t>120% overflow</t>
  </si>
  <si>
    <t>mix of okay QoL trigger and decent effect for DPS setup</t>
  </si>
  <si>
    <t>Sword hits</t>
  </si>
  <si>
    <t>x40 slow stacks on light, x60 on heavy</t>
  </si>
  <si>
    <t>10 ammo, 10 mag</t>
  </si>
  <si>
    <t>Chill Clip equivalent on a more risky weapon family</t>
  </si>
  <si>
    <t>Precision hit</t>
  </si>
  <si>
    <t>0.75x draw time for 3s</t>
  </si>
  <si>
    <t>worse than Archer's Gambit, but easy to use uptime bow perk</t>
  </si>
  <si>
    <t>3 precision hits with 2s between</t>
  </si>
  <si>
    <t>1 ammo refund</t>
  </si>
  <si>
    <t>FTTC but half efficacy and worse per-mag damage</t>
  </si>
  <si>
    <t>Hits with 0.2s between, &gt;12.5% mag</t>
  </si>
  <si>
    <t>Scales from 17-40% damage</t>
  </si>
  <si>
    <t>19-45% damage</t>
  </si>
  <si>
    <t>LMG damage</t>
  </si>
  <si>
    <t>splash
sustained</t>
  </si>
  <si>
    <t>Next shot after hit counter fills
Direct hit on scorched target</t>
  </si>
  <si>
    <t>10-20 scorch (primary/special, +50% with Ashes)</t>
  </si>
  <si>
    <t>? less hits</t>
  </si>
  <si>
    <t>potential synergy with Eunoia, PotBS, and Dragon's Breath, usually not enough scorch</t>
  </si>
  <si>
    <t>splash
burst</t>
  </si>
  <si>
    <t>Mag full
Passive</t>
  </si>
  <si>
    <t>25% damage, explosion on corpse
30 mag</t>
  </si>
  <si>
    <t>okay add clear in mid-tier content, decent sustained damage with overflow perk</t>
  </si>
  <si>
    <t>Precision hit (3 stacks, 3.5s)</t>
  </si>
  <si>
    <r>
      <rPr>
        <rFont val="Arial"/>
        <color rgb="FF181A1B"/>
      </rPr>
      <t>Dragonfly-like splash</t>
    </r>
    <r>
      <rPr>
        <rFont val="Arial"/>
        <color theme="1"/>
      </rPr>
      <t xml:space="preserve"> that does up to ~67% more at max stacks</t>
    </r>
  </si>
  <si>
    <t>BiS general on-kill splash perk for crit weapons</t>
  </si>
  <si>
    <t>0.84x-0.63x firing delay, 15-35 reload for 4.5s</t>
  </si>
  <si>
    <t>underrated, ~59% DPS increase and reload perk, only problem is duration and annoying to max</t>
  </si>
  <si>
    <t>Weapon kill
Matching ability kill with x1 active</t>
  </si>
  <si>
    <t>15% damage for 7s
50% damage for 10s</t>
  </si>
  <si>
    <t>1s duration for x1</t>
  </si>
  <si>
    <t>very high damage spree perk, but requires constant matching ability kills</t>
  </si>
  <si>
    <t>Elemental debuff application</t>
  </si>
  <si>
    <t>50 reload, 20 aim assist, -20% ADS penalty for 4.5s</t>
  </si>
  <si>
    <t>like Collective Action, actually pretty easy to trigger in current sandbox</t>
  </si>
  <si>
    <t>Weapon kill (4 stacks)</t>
  </si>
  <si>
    <t>15-50% for 5.5-15.5s (scales based on enemy rank)</t>
  </si>
  <si>
    <t>combatant tier gimmick doesn't work out due to time between engagements</t>
  </si>
  <si>
    <t>Weapon ready after another weapon's kills</t>
  </si>
  <si>
    <t>10%-20% extra mag per kill, max of 3x mag</t>
  </si>
  <si>
    <t>2.5% more per kill</t>
  </si>
  <si>
    <t>still a no swap tripling of base mag even post-nerf</t>
  </si>
  <si>
    <t>Stopping after 1.5s sprint
Amplified</t>
  </si>
  <si>
    <t>?s handling, 0.95x animations, 20 reload, 0.95x reload duration for 3s
60 reload + above benefits</t>
  </si>
  <si>
    <t>?s duration
? reload
?x reload duration</t>
  </si>
  <si>
    <t>pretty consistent strong QoL stat buff in current sandbox</t>
  </si>
  <si>
    <t>15 reload, 0.9x reload duration, 45% cone, tracking for 6s</t>
  </si>
  <si>
    <t>middling reload buff with unnecessary QoL tracking</t>
  </si>
  <si>
    <t>Kill-reload within 7s</t>
  </si>
  <si>
    <t>Mag overflow based on kills (up to +150%)</t>
  </si>
  <si>
    <t>1s kill-reload time</t>
  </si>
  <si>
    <t>great on high lethality low mag weapons (like wave frames) without Clown</t>
  </si>
  <si>
    <t>Stasis crystal spawn on corpse</t>
  </si>
  <si>
    <t>stasis fragment synergy</t>
  </si>
  <si>
    <t>higher splash than Firefly without reload bump</t>
  </si>
  <si>
    <t>Support Frame Boost to ally</t>
  </si>
  <si>
    <t>25% damage for 10s</t>
  </si>
  <si>
    <t>extremely straightforward trigger, damage is alright</t>
  </si>
  <si>
    <t>Blocking any damage</t>
  </si>
  <si>
    <t>Emits a disorienting blast</t>
  </si>
  <si>
    <t>10 ammo</t>
  </si>
  <si>
    <t>utility blind for a movement sword</t>
  </si>
  <si>
    <t>Blast Distributor</t>
  </si>
  <si>
    <t>Explosive damage (5 stacks)</t>
  </si>
  <si>
    <t>10 grenade per stack for 5s</t>
  </si>
  <si>
    <t>3 grenade per stack</t>
  </si>
  <si>
    <t>only really good on area denials for now, 65 is a big stat bump</t>
  </si>
  <si>
    <t>Every 3 minors within 5s / 1 elite+ kill</t>
  </si>
  <si>
    <t>80 HP and starts health regen</t>
  </si>
  <si>
    <t>5 HP</t>
  </si>
  <si>
    <t>sustain on high lethality weapons</t>
  </si>
  <si>
    <t>Precision kill
1.5?s ICD</t>
  </si>
  <si>
    <t>Sever explosion</t>
  </si>
  <si>
    <t>similar to Demoralize, not really a needed niche</t>
  </si>
  <si>
    <t>Weaken explosion</t>
  </si>
  <si>
    <t>Destabilizing's less useful younger brother</t>
  </si>
  <si>
    <t>Subclass pickup</t>
  </si>
  <si>
    <t>?% melee energy on hits for 8s
Duration can be extended to 16s total</t>
  </si>
  <si>
    <t>?% more energy</t>
  </si>
  <si>
    <t>pretty solid melee on hit on certain archetypes, but build-dependent for subclass pickups</t>
  </si>
  <si>
    <t>x1 Bolt Charge (doubled if Amplified)</t>
  </si>
  <si>
    <t>x1 more Bolt Charge if at 0 stacks</t>
  </si>
  <si>
    <t>doesn't significantly affect Bolt Charge builds, has okay melee build potential</t>
  </si>
  <si>
    <t>Within 15m of 1+ enemies (up to 2)</t>
  </si>
  <si>
    <t>15-40 stability, 25-100 handling, 0.9-0.81x handling duration, 18-60 reload</t>
  </si>
  <si>
    <t>3-4 stats</t>
  </si>
  <si>
    <t>can be used to boost handling or to boost reload, only good near 2 enemies</t>
  </si>
  <si>
    <t>Any weapon kill (2 stacks, drops to x1 when x2 expires)</t>
  </si>
  <si>
    <t>15% damage for 7s, then 25% damage for 4s</t>
  </si>
  <si>
    <t>like Paracausal Affinity, but layered uptime and higher max</t>
  </si>
  <si>
    <t>Kill that matches weapon alignment</t>
  </si>
  <si>
    <t>20% damage for 6s</t>
  </si>
  <si>
    <t>basically guaranteed spree perk</t>
  </si>
  <si>
    <t>Weapon kill (1 stack)
Melee kill (5 stacks)</t>
  </si>
  <si>
    <t>7-33% damage for 4.5s</t>
  </si>
  <si>
    <t>better duration and uptime vs. AJ</t>
  </si>
  <si>
    <t>Weapon kill
Melee damage</t>
  </si>
  <si>
    <t>10-20% melee energy
35 handling for 3s</t>
  </si>
  <si>
    <t>fill perk, more useful on add clear weapons than most other ability regen perks</t>
  </si>
  <si>
    <t>Weapon ready within 7?s of another weapon kill</t>
  </si>
  <si>
    <t>Refill (primary) / ammo refund (special) on kill for 7s</t>
  </si>
  <si>
    <t>stretching ammo economy on one-shot specials</t>
  </si>
  <si>
    <t>Explosions release 8 clusters</t>
  </si>
  <si>
    <t>5 blast</t>
  </si>
  <si>
    <t>situationally decent depending on boss model</t>
  </si>
  <si>
    <t>~50% of mag hit with 6s between hits</t>
  </si>
  <si>
    <t>40% damage against constructs/vehicles for 5s
10% mag refill</t>
  </si>
  <si>
    <t>vehicle/construct damage</t>
  </si>
  <si>
    <t>Weapon kill (3 stacks, decay per stack)</t>
  </si>
  <si>
    <t>10-33% damage for 4.5s</t>
  </si>
  <si>
    <t>much better alternatives</t>
  </si>
  <si>
    <t>Gaining Bolt Charge
Discharging Bolt Charge</t>
  </si>
  <si>
    <t>10% mag refill (excludes non-stowed heat)
20% mag refill, 100% heat dissipation</t>
  </si>
  <si>
    <t>solid refill effect but more annoying than meta refill perk requirements</t>
  </si>
  <si>
    <t>10-17% mag refill</t>
  </si>
  <si>
    <t>20% refill</t>
  </si>
  <si>
    <t>situational refill dependent on TtK</t>
  </si>
  <si>
    <t>Precision kill-reload within 5.2s</t>
  </si>
  <si>
    <t>0.7x firing delay for 6s</t>
  </si>
  <si>
    <t>tier 2 Onslaught equivalent for one kill</t>
  </si>
  <si>
    <t>10 range, 10 stability, 35 handling, 35 reload, 0.95x reload duration for 10s, non-refreshable</t>
  </si>
  <si>
    <t>decent paired with OfA</t>
  </si>
  <si>
    <t>Weapon kill (1 stack)
Grenade kill (5 stacks)</t>
  </si>
  <si>
    <t>~7% to ~33% damage, +20 handling for 4.5s</t>
  </si>
  <si>
    <t>mediocre uptime but easy to max with grenade builds</t>
  </si>
  <si>
    <t>Kill-reload within 3.6s (3 stacks)</t>
  </si>
  <si>
    <t>17-50% damage for 5s</t>
  </si>
  <si>
    <t>potentially decent on wave frames and other high lethality splash weapons</t>
  </si>
  <si>
    <t>&gt;50% mag</t>
  </si>
  <si>
    <t>50 reload, 0.95x reload duration</t>
  </si>
  <si>
    <t>playstyle and weapon-dependent</t>
  </si>
  <si>
    <t>Readying sword</t>
  </si>
  <si>
    <t>30% damage for 1.5s</t>
  </si>
  <si>
    <t>sword swap rotation perk</t>
  </si>
  <si>
    <t>Kill-reload within 3.6s</t>
  </si>
  <si>
    <t>25% damage for 5s</t>
  </si>
  <si>
    <t>decent on wave frames</t>
  </si>
  <si>
    <t>30% damage, +10 range, 1.2x firing delay for 7s</t>
  </si>
  <si>
    <t>single shot damage on rocket sidearms</t>
  </si>
  <si>
    <t>Proximity Power</t>
  </si>
  <si>
    <t>Weapon kill within 15m of enemy (3 stacks)</t>
  </si>
  <si>
    <t>15 melee per stack for 10s</t>
  </si>
  <si>
    <t>3 melee per stack</t>
  </si>
  <si>
    <t>stats too low, kill requirement too high, compare against Blast Distributor</t>
  </si>
  <si>
    <t>Blocking damage</t>
  </si>
  <si>
    <t>20% projectile damage for 4s</t>
  </si>
  <si>
    <t>unhelpful boost to offensive aspect of glaives</t>
  </si>
  <si>
    <t>Glaive melee kill</t>
  </si>
  <si>
    <t>?% glaive energy and -?% block movement penalty for ?s</t>
  </si>
  <si>
    <t>perhaps a niche option for glaive melee-centric builds</t>
  </si>
  <si>
    <t>Crystal or frozen enemy shatter</t>
  </si>
  <si>
    <t>Frost Armor x1</t>
  </si>
  <si>
    <t>Frost Armor x2</t>
  </si>
  <si>
    <t>Frost Armor source on stasis builds</t>
  </si>
  <si>
    <t>125% damage to shields and overshields
50% damage to Barrier shields</t>
  </si>
  <si>
    <t>?% damage</t>
  </si>
  <si>
    <t>Barrier primaries</t>
  </si>
  <si>
    <t>Elemental or Barrier shield break</t>
  </si>
  <si>
    <t>50% more kinetic damage to affected target for 5.5s</t>
  </si>
  <si>
    <t>shielded high-health targets rare</t>
  </si>
  <si>
    <t>Precision kill
3 kills with 3s between</t>
  </si>
  <si>
    <t>Threadling spawn on corpse</t>
  </si>
  <si>
    <t>worst 3.0 splash effect</t>
  </si>
  <si>
    <t>Loads 2 ammo at a time</t>
  </si>
  <si>
    <t>3 ammo at a time</t>
  </si>
  <si>
    <t>great with low RoF Trench shotguns</t>
  </si>
  <si>
    <t>50 blast, delayed detonation, 20% damage</t>
  </si>
  <si>
    <t>outdated unconditional damage boost</t>
  </si>
  <si>
    <t>Projectile 0.2-1.1s airborne</t>
  </si>
  <si>
    <t>0-25% explosive damage</t>
  </si>
  <si>
    <t>niche sustained damage for HGLs</t>
  </si>
  <si>
    <t>Weapon kill
Class ability usage</t>
  </si>
  <si>
    <t>10-20% class ability energy
? stability for ?s</t>
  </si>
  <si>
    <t>least useful ability to waste a regen perk on</t>
  </si>
  <si>
    <t>1-1.5% extra super energy</t>
  </si>
  <si>
    <t>1.33-2% energy</t>
  </si>
  <si>
    <t>weapon kills not as coveted for super farming any more</t>
  </si>
  <si>
    <t>8% ability energy split equally</t>
  </si>
  <si>
    <t>1% energy</t>
  </si>
  <si>
    <t>mathematically inefficient compared to other ability perks</t>
  </si>
  <si>
    <t>Cooling Baubles</t>
  </si>
  <si>
    <t>Elemental pickup or orb pickup</t>
  </si>
  <si>
    <t>-33% heat</t>
  </si>
  <si>
    <t>-2% heat</t>
  </si>
  <si>
    <t>niche usage for longer single mag firing use cases</t>
  </si>
  <si>
    <t>Supercharged Magazine</t>
  </si>
  <si>
    <t>Amplified
Speed Booster</t>
  </si>
  <si>
    <t>5% mag refill every 1.5s
5% mag refill every 0.25s, up to 2x overflow</t>
  </si>
  <si>
    <t>refill too slow with just Amplified, Speed Booster unrealistic activation during damage</t>
  </si>
  <si>
    <t>Weapon kill (up to 5 stacks)</t>
  </si>
  <si>
    <t>8-100 reload (50 on 2nd stack), 0.975-0.8x reload duration for 3.5s</t>
  </si>
  <si>
    <t>13-100 reload</t>
  </si>
  <si>
    <t>decent on spree primaries</t>
  </si>
  <si>
    <t>Within 15m of ally</t>
  </si>
  <si>
    <t>30 handling and 40 reload, lingers for 1.5s</t>
  </si>
  <si>
    <t>5 more stats</t>
  </si>
  <si>
    <t>acceptable in team settings</t>
  </si>
  <si>
    <t>Weapon ready within 3s of another weapon kill</t>
  </si>
  <si>
    <t>20% damage, 15 handling for 7s</t>
  </si>
  <si>
    <t>better alternatives in same damage tier</t>
  </si>
  <si>
    <t>0.625x charge/draw for 6s, more kills give 4s, up to 20s</t>
  </si>
  <si>
    <t>Kills give 5s</t>
  </si>
  <si>
    <t>potentially strong if fusion minor scalar gets buffed</t>
  </si>
  <si>
    <t>Binary Orbit</t>
  </si>
  <si>
    <t>Kill that mismatches weapon alignment</t>
  </si>
  <si>
    <t>25% damage for 8.5s</t>
  </si>
  <si>
    <t>build-dependent, but a decent refreshable roam option</t>
  </si>
  <si>
    <t>15% damage, 9m/s movement for 5s</t>
  </si>
  <si>
    <t>better roam perks</t>
  </si>
  <si>
    <t>Subclass item pickup</t>
  </si>
  <si>
    <t>20% damage for 7s
Duration extended up to 12s</t>
  </si>
  <si>
    <t>1s initial duration</t>
  </si>
  <si>
    <t>fairly consistent spree perk in current sandbox</t>
  </si>
  <si>
    <t>Adhesive Ordnance</t>
  </si>
  <si>
    <t>damage
splash</t>
  </si>
  <si>
    <t>Ammo pickup</t>
  </si>
  <si>
    <t>Effective 2.2x damage for one shot due to attached projectile</t>
  </si>
  <si>
    <t>only really useful for Recomb-style play or brick spam mods</t>
  </si>
  <si>
    <t>ADS</t>
  </si>
  <si>
    <t>Rockets track enemies</t>
  </si>
  <si>
    <t>good frame + moving boss</t>
  </si>
  <si>
    <t>?% energy to least-charged ability</t>
  </si>
  <si>
    <t>supports multikills, but still less efficient than other ability perks that don't need reloads</t>
  </si>
  <si>
    <t>Matching shield break</t>
  </si>
  <si>
    <t>Explosion that disorients for 5s within 7m</t>
  </si>
  <si>
    <t>usually not very relevant given current sandbox</t>
  </si>
  <si>
    <t>Shield break
Matching shield hit</t>
  </si>
  <si>
    <t>Mag refill
Refunds 1 ammo</t>
  </si>
  <si>
    <t>okay on Barrier primaries</t>
  </si>
  <si>
    <t>Blocking and stationary</t>
  </si>
  <si>
    <t>90% more energy per hit</t>
  </si>
  <si>
    <t>10% energy</t>
  </si>
  <si>
    <t>underrated but requires no movement</t>
  </si>
  <si>
    <t>Blocking damage with sword</t>
  </si>
  <si>
    <t>0.5-1.5% class energy per blocked damage</t>
  </si>
  <si>
    <t>0.625%-1.55% energy</t>
  </si>
  <si>
    <t>underrated but class ability not high value</t>
  </si>
  <si>
    <t>PvP</t>
  </si>
  <si>
    <t>100 handling, 0.95x ready, -20% cone</t>
  </si>
  <si>
    <t>-15% cone</t>
  </si>
  <si>
    <t>niche swap rotations</t>
  </si>
  <si>
    <t>Weapon ready</t>
  </si>
  <si>
    <t>100 ready/stow handling, 0.95x ready duration for 1s or ADS</t>
  </si>
  <si>
    <t>Within 15m of 3+ enemies</t>
  </si>
  <si>
    <t>?% blast, lower self damage, lingers for 3.5s</t>
  </si>
  <si>
    <t>5 blast passively</t>
  </si>
  <si>
    <t>rocket jumping :D</t>
  </si>
  <si>
    <t>Within 15m of 2+ enemies</t>
  </si>
  <si>
    <t>0.85x charge/draw, lingers for 1.5s</t>
  </si>
  <si>
    <t>5 stability passively
10 stability with perk</t>
  </si>
  <si>
    <t>extremely niche; paired with Surrounded</t>
  </si>
  <si>
    <t>Weapon ready
3.5s ICD</t>
  </si>
  <si>
    <t>0.7x charge, -20% damage, 100 handling for 2s</t>
  </si>
  <si>
    <t>lowering initial charge on high-impacts</t>
  </si>
  <si>
    <t>70 reload, 0.9x reload duration for 6s</t>
  </si>
  <si>
    <t>outdated trigger</t>
  </si>
  <si>
    <t>2 kills</t>
  </si>
  <si>
    <t>Chance for 2 ammo</t>
  </si>
  <si>
    <t>worse than Relentless in every circumstance</t>
  </si>
  <si>
    <t>Melee damage within 15m of enemy
4s ICD</t>
  </si>
  <si>
    <t>6x damage and 100 handling for 10s or one burst</t>
  </si>
  <si>
    <t>ICD keeps it from being great</t>
  </si>
  <si>
    <t>Blocking an attack 0.5s after blocking</t>
  </si>
  <si>
    <t>50% damage for 2s</t>
  </si>
  <si>
    <t>very inconsistent upkeep</t>
  </si>
  <si>
    <t>Mag is 50-0%</t>
  </si>
  <si>
    <t>12.1-25.6% damage</t>
  </si>
  <si>
    <t>55% start</t>
  </si>
  <si>
    <t>worse than Vorpal across entire mag</t>
  </si>
  <si>
    <t>Unmatched or Barrier shield damage</t>
  </si>
  <si>
    <t>On-hit scaling to ~50% damage</t>
  </si>
  <si>
    <t>1.4x more damage</t>
  </si>
  <si>
    <t>Stopping Power</t>
  </si>
  <si>
    <t>Low health target
Passive</t>
  </si>
  <si>
    <t>Up to 15% damage at &lt;18% health
Increased stagger?</t>
  </si>
  <si>
    <t>not good enough to surpass other double damage perks</t>
  </si>
  <si>
    <t>Grenade use</t>
  </si>
  <si>
    <t>50% mag refill, weapon becomes super element (only refills once per ready)</t>
  </si>
  <si>
    <t>affinity change is useless, mag refill is okay</t>
  </si>
  <si>
    <t>Last guardian standing
Passive</t>
  </si>
  <si>
    <t>100 handling, 100 reload, radar while ADS
20 handling, 20 reload</t>
  </si>
  <si>
    <t>better alternatives</t>
  </si>
  <si>
    <t>Passive (based on super)</t>
  </si>
  <si>
    <t>50 reload (solar), 50 handling (arc)
Other subclasses useless stats</t>
  </si>
  <si>
    <t>better subclass-agnostic alternatives</t>
  </si>
  <si>
    <t>Thermal Atomization</t>
  </si>
  <si>
    <t>50-100% heat</t>
  </si>
  <si>
    <t>8.25% to 15% damage, small splash on kill</t>
  </si>
  <si>
    <t>like HIR with a mediocre splash effect, not very good</t>
  </si>
  <si>
    <t>Abililty charges available (3 stacks)</t>
  </si>
  <si>
    <t>5-25 stability, 5-60 handling, 10-60 reload</t>
  </si>
  <si>
    <t>? stats</t>
  </si>
  <si>
    <t>more consistent alternatives</t>
  </si>
  <si>
    <t>Ready within 3.5s of other weapon or ability kills (3 stacks)</t>
  </si>
  <si>
    <t>10-30 stability, handling, and reload for 7.5s</t>
  </si>
  <si>
    <t>No enemies within 15m</t>
  </si>
  <si>
    <t>10 range, 30 reload</t>
  </si>
  <si>
    <t>2 more stats</t>
  </si>
  <si>
    <t>decent reload, just better options</t>
  </si>
  <si>
    <t>Elemental shield break</t>
  </si>
  <si>
    <t>30 HP overshield for 10s</t>
  </si>
  <si>
    <t>1.4s duration</t>
  </si>
  <si>
    <t>non-3.0 overshield with very low HP</t>
  </si>
  <si>
    <t>Missing</t>
  </si>
  <si>
    <t>20-35% chance to refund ammo</t>
  </si>
  <si>
    <t>25-40% chance</t>
  </si>
  <si>
    <t>interaction with Armor-Piercing Rounds</t>
  </si>
  <si>
    <t>0.5x ADS (0.8x for specials)</t>
  </si>
  <si>
    <t>QoL on snipers</t>
  </si>
  <si>
    <t>Passive
No allies within 15m</t>
  </si>
  <si>
    <t>10 aim assist, 0.9x ADS duration, 10 AE
Above effects doubled</t>
  </si>
  <si>
    <t>1 aim assist, 0.05x ADS duration, 2 AE</t>
  </si>
  <si>
    <t>pseudo-Snapshot</t>
  </si>
  <si>
    <t>Firing</t>
  </si>
  <si>
    <t>40 stability, -50% recoil, -10% cone for 0.6s</t>
  </si>
  <si>
    <t>0.16s duration
? stats</t>
  </si>
  <si>
    <t>Shoot to Loot traces</t>
  </si>
  <si>
    <t>Missing twice in 6s</t>
  </si>
  <si>
    <t>Refunds 1 ammo</t>
  </si>
  <si>
    <t>possible interaction with Armor-Piercing Rounds, otherwise useless</t>
  </si>
  <si>
    <t>refill
reload</t>
  </si>
  <si>
    <t>Kill-reload within 3.6s
Passive</t>
  </si>
  <si>
    <t>Refills stowed weapons
20 reload</t>
  </si>
  <si>
    <t>Envious Arsenal's younger and much less cool brother</t>
  </si>
  <si>
    <t>While moving for 2-10s, stops after 0.5s</t>
  </si>
  <si>
    <t>10-20 stability, handling, reload</t>
  </si>
  <si>
    <t>2-9s</t>
  </si>
  <si>
    <t>annoying upkeep and pitiful stats</t>
  </si>
  <si>
    <t>Precision kill-reload (10 stacks)</t>
  </si>
  <si>
    <t>50% damage per shot per stack
Precision kills add one stack</t>
  </si>
  <si>
    <t>awful damage return</t>
  </si>
  <si>
    <t>0.9x fire rate recovery on shotguns</t>
  </si>
  <si>
    <t>worse Cascade Point</t>
  </si>
  <si>
    <t>Precision multiplier up by 1 for one shot</t>
  </si>
  <si>
    <t>-0.1s ADS time</t>
  </si>
  <si>
    <t>100 blast radius for 5.5s</t>
  </si>
  <si>
    <t>better alternatives or literally does nothing</t>
  </si>
  <si>
    <t>Butterfly</t>
  </si>
  <si>
    <t>Kill after 1.5s ADS</t>
  </si>
  <si>
    <t>Dragonfly-like splash</t>
  </si>
  <si>
    <t>0.1s ADS</t>
  </si>
  <si>
    <t>terrible payoff for ADS + kill</t>
  </si>
  <si>
    <t>Kills refill magazine
30 mag</t>
  </si>
  <si>
    <t>mag increase never worth</t>
  </si>
  <si>
    <t>Sprinting for 1.5s into slide</t>
  </si>
  <si>
    <t>15% damage, 0.8x charge for ?s</t>
  </si>
  <si>
    <t>boost awful and short</t>
  </si>
  <si>
    <t>80% lunge distance for 1s</t>
  </si>
  <si>
    <t>Eager better universally post-healing patch</t>
  </si>
  <si>
    <t>Sword kill</t>
  </si>
  <si>
    <t>60 guard stats, 60 charge until stowed</t>
  </si>
  <si>
    <t>5 extra to all stats</t>
  </si>
  <si>
    <t>60 charge never worth over Relentless</t>
  </si>
  <si>
    <t>Critical health</t>
  </si>
  <si>
    <t>50 handling, 0.95x ready/stow, mag refresh</t>
  </si>
  <si>
    <t>Higher health</t>
  </si>
  <si>
    <t>low health rotations are a gimmick</t>
  </si>
  <si>
    <t>Heavy attack that fully depletes ammo</t>
  </si>
  <si>
    <t>67% damage</t>
  </si>
  <si>
    <t>Crouching</t>
  </si>
  <si>
    <t>? reload, 0.8x reload duration</t>
  </si>
  <si>
    <t>? stability and reload</t>
  </si>
  <si>
    <t>much worse than draw time</t>
  </si>
  <si>
    <t>100 handling, 0.825x handling duration on all weapons for 8.5s</t>
  </si>
  <si>
    <t>20 range, 50 mobility, 40 handling for 5s</t>
  </si>
  <si>
    <t>Weapon kill (2 each, 8 stacks)</t>
  </si>
  <si>
    <t>100 ready/stow handling, ?x ready/stow duration, stack consumed on ready/stow</t>
  </si>
  <si>
    <t>Holding down trigger</t>
  </si>
  <si>
    <t>Scaling accuracy and stability</t>
  </si>
  <si>
    <t>Faster scaling</t>
  </si>
  <si>
    <t>Weapon hit (5 stacks)</t>
  </si>
  <si>
    <t>-?% recoil, ?% flinch resistance per stack for 1s</t>
  </si>
  <si>
    <t>Grenade or powered melee (2 stacks)</t>
  </si>
  <si>
    <t>10-20 range, stability, handling for 15s</t>
  </si>
  <si>
    <t>Dealing body damage</t>
  </si>
  <si>
    <t>Precision multiplier up by 0.1175 for 0.55s</t>
  </si>
  <si>
    <t>30 handling, -80% horizontal recoil</t>
  </si>
  <si>
    <t>10-20% body damage, -20% ADS auto aim cone</t>
  </si>
  <si>
    <t>-15% auto aim cone</t>
  </si>
  <si>
    <t>Shields active
Reactivates 1s after above critical</t>
  </si>
  <si>
    <t>20 range</t>
  </si>
  <si>
    <t>0.5s faster recovery</t>
  </si>
  <si>
    <t>? stability, ? handling, ? reload for ?s</t>
  </si>
  <si>
    <t>stats useless after shot</t>
  </si>
  <si>
    <t>20 range, -20 stabililty</t>
  </si>
  <si>
    <t>Transcendent Moment</t>
  </si>
  <si>
    <t>Arc, solar, or void weapon kill
Stasis or strand weapon kill
Transcendent</t>
  </si>
  <si>
    <t>? stability and ? handling
? range and ? aim assist
Both bonuses active</t>
  </si>
  <si>
    <t>-20% block movement penalty for ?s</t>
  </si>
  <si>
    <t>does effectively nothing</t>
  </si>
  <si>
    <t>ADS for 1s</t>
  </si>
  <si>
    <t>35% flinch resist</t>
  </si>
  <si>
    <t>ADS for 0.9s</t>
  </si>
  <si>
    <t>Passive
Weapon kill</t>
  </si>
  <si>
    <t>10 AE
30 AE for 5s</t>
  </si>
  <si>
    <t>2 AE</t>
  </si>
  <si>
    <t>Delicate Tuning</t>
  </si>
  <si>
    <t>50-0% heat</t>
  </si>
  <si>
    <t>Up to 22 range, ? handling, ?% accuracy cone (50% effect at 50%)</t>
  </si>
  <si>
    <t>30 damage taken (10 stacks, removed on stow)</t>
  </si>
  <si>
    <t>? handling and 2 aim assist per stack</t>
  </si>
  <si>
    <t>? handling
? aim assist</t>
  </si>
  <si>
    <t>Damage dealt/received every 3s for 6s</t>
  </si>
  <si>
    <t>30 AE, 35% flinch resist for 10s</t>
  </si>
  <si>
    <t>Damage every 3.5s
2s duration</t>
  </si>
  <si>
    <t>20% tighter pellet spread for 7.5s</t>
  </si>
  <si>
    <t>5% tighter spread, 1s duration</t>
  </si>
  <si>
    <t>10 aim assist, 2.5% lower ADS move speed penalty</t>
  </si>
  <si>
    <t>1? aim assist</t>
  </si>
  <si>
    <t>20 aim assist, -20 range</t>
  </si>
  <si>
    <t>20 aim assist, -?% cone, ? handling for 5s</t>
  </si>
  <si>
    <t>50-0% mag</t>
  </si>
  <si>
    <t>10-20 range, 10-20 handling, -5-10% cone</t>
  </si>
  <si>
    <t>? more stats</t>
  </si>
  <si>
    <t>Hipfire</t>
  </si>
  <si>
    <t>1.2x aim assist falloff, 15 aim assist, -30% accuracy cone, 25 stability</t>
  </si>
  <si>
    <t>Stronger effect</t>
  </si>
  <si>
    <t>Weapon kills (4 stacks, 2 for precision)</t>
  </si>
  <si>
    <t>Up to 20 range, 32 stability, and -5% cone for 7s</t>
  </si>
  <si>
    <t>Built to Blast</t>
  </si>
  <si>
    <t>Void Overshield, Frost Armor, or Woven Mail</t>
  </si>
  <si>
    <t>30? stability, ? aim assist, ?% flinch resist lingering for ?s</t>
  </si>
  <si>
    <t>Weapon kill (2 stacks)</t>
  </si>
  <si>
    <t>Scales up to -25% cone, 30 stability, 40 recoil for 5.5s</t>
  </si>
  <si>
    <t>1.45x falloff, 30 stability, -95% cone for 7s if hipfire</t>
  </si>
  <si>
    <t>&lt;50% mag down to 0</t>
  </si>
  <si>
    <t>Scales up to -25% cone, 30 stability</t>
  </si>
  <si>
    <t>-30% cone, ? stability</t>
  </si>
  <si>
    <t>10% zoom, 5% projectile speed</t>
  </si>
  <si>
    <t>First shot, 3.1s ICD</t>
  </si>
  <si>
    <t>25 range, 20 aim assist, -5% cone</t>
  </si>
  <si>
    <t>5 aim assist, 5 range</t>
  </si>
  <si>
    <t>156 down to critical health</t>
  </si>
  <si>
    <t>Scales up to 30 handling, -40% cone</t>
  </si>
  <si>
    <t>Missing multiple times within 2.5s
Removed 1s after hitting</t>
  </si>
  <si>
    <t>25 stability for 2.5s</t>
  </si>
  <si>
    <t>?s post-hit duration</t>
  </si>
  <si>
    <t>20 stability, -20 reload</t>
  </si>
  <si>
    <t>literally lowers reload</t>
  </si>
  <si>
    <t>Notable Weapons</t>
  </si>
  <si>
    <t>damage
refill</t>
  </si>
  <si>
    <t>3 hits with 1.2s between (checks every 0.8s)</t>
  </si>
  <si>
    <r>
      <rPr>
        <rFont val="Arial"/>
        <color rgb="FF181A1B"/>
      </rPr>
      <t xml:space="preserve">5% damage for 4s, 10% mag refill (reload and 8s timer for 1 mag weapons)
</t>
    </r>
    <r>
      <rPr>
        <rFont val="Arial"/>
        <b/>
        <color rgb="FF181A1B"/>
      </rPr>
      <t>6% damage</t>
    </r>
  </si>
  <si>
    <t>Refurbished A499, Uncivil Discourse, A Good Shout, Riptide, Psi Aeterna IV</t>
  </si>
  <si>
    <t>basically free 6% damage and pseudo Rewind Rounds</t>
  </si>
  <si>
    <t>refill
ability</t>
  </si>
  <si>
    <t>weapon kill
super end</t>
  </si>
  <si>
    <r>
      <rPr>
        <rFont val="Arial"/>
        <color rgb="FF181A1B"/>
      </rPr>
      <t xml:space="preserve">1% extra super energy
mag refill, 2x mag for 20s
</t>
    </r>
    <r>
      <rPr>
        <rFont val="Arial"/>
        <b/>
        <color rgb="FF181A1B"/>
      </rPr>
      <t>15% damage during 20s effect</t>
    </r>
  </si>
  <si>
    <t>Hezen Vengeance, Praedyth's Revenge, Corrective Measure, Fatebringer</t>
  </si>
  <si>
    <t>actually doubling mag size is game-warping for many DPS weapons, super energy is just a plus</t>
  </si>
  <si>
    <t>damage
survivability</t>
  </si>
  <si>
    <t>shooting minors/elites
shooting miniboss+</t>
  </si>
  <si>
    <r>
      <rPr>
        <rFont val="Arial"/>
        <color rgb="FF181A1B"/>
      </rPr>
      <t xml:space="preserve">Explosive Payload-like effect
exhaust on-hit
</t>
    </r>
    <r>
      <rPr>
        <rFont val="Arial"/>
        <b/>
        <color rgb="FF181A1B"/>
      </rPr>
      <t>? stability, ? reload for ?s on damage</t>
    </r>
  </si>
  <si>
    <t>Unsworn, Unloved, Unworthy, Unvoiced</t>
  </si>
  <si>
    <t>excellent jack-of-all-trades on any roam wepaon</t>
  </si>
  <si>
    <t>survivability</t>
  </si>
  <si>
    <t>reload after weapon hits</t>
  </si>
  <si>
    <r>
      <rPr>
        <rFont val="Arial"/>
        <color theme="1"/>
      </rPr>
      <t xml:space="preserve">HP based on mag% hit (50 HP for full mag, GL hits count as 50%)
</t>
    </r>
    <r>
      <rPr>
        <rFont val="Arial"/>
        <b/>
        <color theme="1"/>
      </rPr>
      <t>doubled</t>
    </r>
  </si>
  <si>
    <t>very noticeable when enhanced, still solid source of sustain otherwise</t>
  </si>
  <si>
    <t>weapon kill (3 stacks)</t>
  </si>
  <si>
    <r>
      <rPr>
        <rFont val="Arial"/>
        <color theme="1"/>
      </rPr>
      <t xml:space="preserve">10 health, 5% DR per stack for 5s
</t>
    </r>
    <r>
      <rPr>
        <rFont val="Arial"/>
        <b/>
        <color theme="1"/>
      </rPr>
      <t>duration doubled</t>
    </r>
  </si>
  <si>
    <t>Explosive Personality, Recurrent Impact</t>
  </si>
  <si>
    <t>better, more universal version of Vanguard Determination</t>
  </si>
  <si>
    <t>melee kill</t>
  </si>
  <si>
    <r>
      <rPr>
        <rFont val="Arial"/>
        <color theme="1"/>
      </rPr>
      <t xml:space="preserve">enemies explode on weapon kill for 7.5s
</t>
    </r>
    <r>
      <rPr>
        <rFont val="Arial"/>
        <b/>
        <color theme="1"/>
      </rPr>
      <t>15s</t>
    </r>
  </si>
  <si>
    <t>Song of Ir Yût, Swordbreaker, Word of Crota, Abyss Defiant, Oversoul Edict</t>
  </si>
  <si>
    <t>besides being situational, single kill splash perk is very solid</t>
  </si>
  <si>
    <t>scoring hits with a portion of the mag (primaries: 45%, fusions: ?, snipers: 50, GLs: 30%, LMGs: 25%)</t>
  </si>
  <si>
    <r>
      <rPr>
        <rFont val="Arial"/>
        <color theme="1"/>
      </rPr>
      <t xml:space="preserve">tracking missile fired with 1s ICD on hit count
</t>
    </r>
    <r>
      <rPr>
        <rFont val="Arial"/>
        <b/>
        <color theme="1"/>
      </rPr>
      <t>+20% rocket damage</t>
    </r>
  </si>
  <si>
    <t>Dimensional Hypotrochoid, Circular Logic</t>
  </si>
  <si>
    <t>best zero requirement on-hit damage trait</t>
  </si>
  <si>
    <t>ally within 15m (3 stacks)
above 50% heat</t>
  </si>
  <si>
    <t>up to 1.105x cooling multiplier, ? charge rate
up to 10.5% damage</t>
  </si>
  <si>
    <t>effectively free ~5% damage and potentially bigger mag in fireteams</t>
  </si>
  <si>
    <t>15m of ally</t>
  </si>
  <si>
    <r>
      <rPr>
        <rFont val="Arial"/>
        <color theme="1"/>
      </rPr>
      <t xml:space="preserve">gives stack (up to 7) every 3s, granting 25% mag refill per stack
</t>
    </r>
    <r>
      <rPr>
        <rFont val="Arial"/>
        <b/>
        <color theme="1"/>
      </rPr>
      <t>time per stack halved</t>
    </r>
  </si>
  <si>
    <t>Subjunctive, Adhortative</t>
  </si>
  <si>
    <t>allows essentially infinite firing on the right DPS weapons</t>
  </si>
  <si>
    <t>damage
stats</t>
  </si>
  <si>
    <t>weapon kill within 15m of enemy (20 stacks)</t>
  </si>
  <si>
    <r>
      <rPr>
        <rFont val="Arial"/>
        <color rgb="FF181A1B"/>
      </rPr>
      <t xml:space="preserve">0.5% damage, 2.5? handling, 2.5? reload per stack
</t>
    </r>
    <r>
      <rPr>
        <rFont val="Arial"/>
        <b/>
        <color rgb="FF181A1B"/>
      </rPr>
      <t>?handling, ? reload</t>
    </r>
  </si>
  <si>
    <t>Ribbontail, Phoneutria Fera, Synanceia, Returned Memory, Mercury-A</t>
  </si>
  <si>
    <t>like Field-Tested but boosts damage too, more straightforward requirements</t>
  </si>
  <si>
    <t>stats</t>
  </si>
  <si>
    <t>ADS or guard 1s after taking damage</t>
  </si>
  <si>
    <t>30 mobility, 40 handling, 35 charge rate, 5% damage for 7.5s, not refreshable</t>
  </si>
  <si>
    <t>Twilight Oath, Vouchsafe</t>
  </si>
  <si>
    <t>free 5% damage increase during most phases, only issue is refresh</t>
  </si>
  <si>
    <t>enemy hit</t>
  </si>
  <si>
    <t>shortest remaining cooldown ability (multiple charges are summed): ?%</t>
  </si>
  <si>
    <t>VS Pyroelectric Propellant, VS Velocity Baton, VS Chill Inhibitor, Ahab Char, Eighty-Six</t>
  </si>
  <si>
    <t>awkward with ability selection for DPS regen, decent otherwise for roam</t>
  </si>
  <si>
    <t>weapon kill (5 stacks)</t>
  </si>
  <si>
    <r>
      <rPr>
        <rFont val="Arial"/>
        <color rgb="FF181A1B"/>
      </rPr>
      <t>1.4% damage, ? range, ? reload per stack</t>
    </r>
    <r>
      <rPr>
        <rFont val="Arial"/>
        <color theme="1"/>
      </rPr>
      <t>, timer paused on stow</t>
    </r>
  </si>
  <si>
    <t>The When and Where, Antedate, Finite Maybe, Lance Ephemeral</t>
  </si>
  <si>
    <t>relatively small damage boost, solid for roam due to stat bumps</t>
  </si>
  <si>
    <t>refill
splash</t>
  </si>
  <si>
    <t>4 minors or 1 major kill</t>
  </si>
  <si>
    <r>
      <rPr>
        <rFont val="Arial"/>
        <color rgb="FF181A1B"/>
      </rPr>
      <t xml:space="preserve">spawns explosive charge which detonates on shot/collision and overflows mag by 40%
</t>
    </r>
    <r>
      <rPr>
        <rFont val="Arial"/>
        <b/>
        <color rgb="FF181A1B"/>
      </rPr>
      <t>spawns 2 charges and overflows by 80%</t>
    </r>
  </si>
  <si>
    <t>Bitter/Sweet, Heretic's Fervor, Vantage Point, Insurmountable</t>
  </si>
  <si>
    <t>would be really good on a machine gun, otherwise still solid for roam weapons</t>
  </si>
  <si>
    <t>melee damage</t>
  </si>
  <si>
    <r>
      <rPr>
        <rFont val="Arial"/>
        <color theme="1"/>
      </rPr>
      <t xml:space="preserve">? handling, 20% mag refill
</t>
    </r>
    <r>
      <rPr>
        <rFont val="Arial"/>
        <b/>
        <color theme="1"/>
      </rPr>
      <t>up to 100% mag overflow</t>
    </r>
  </si>
  <si>
    <t>Perfect Paradox, Martyr's Retribution, Breachlight</t>
  </si>
  <si>
    <t>pairs very well with certain weapon types, not amazing otherwise</t>
  </si>
  <si>
    <t>kill within 15m of 3 enemies or Nightmare</t>
  </si>
  <si>
    <r>
      <rPr>
        <rFont val="Arial"/>
        <color theme="1"/>
      </rPr>
      <t xml:space="preserve">60 HP, 3s ICD
</t>
    </r>
    <r>
      <rPr>
        <rFont val="Arial"/>
        <b/>
        <color theme="1"/>
      </rPr>
      <t>doubled</t>
    </r>
  </si>
  <si>
    <t>Nezarec's Whisper, Hollow Denial</t>
  </si>
  <si>
    <t>high ICD only thing stopping this from being insane, works with glaive melees</t>
  </si>
  <si>
    <t>weapon kill (increases with more trait weapons or Ace of Spades, Khvostov 7G-0X, and Still Hunt)</t>
  </si>
  <si>
    <t>0.3-3% super energy</t>
  </si>
  <si>
    <t>The Call, Pro Memoria</t>
  </si>
  <si>
    <t>insane super generation potential on a pretty decent weapon subset</t>
  </si>
  <si>
    <t>survivability
stats</t>
  </si>
  <si>
    <t>filling hit counter against miniboss+</t>
  </si>
  <si>
    <r>
      <rPr>
        <rFont val="Arial"/>
        <color rgb="FF181A1B"/>
      </rPr>
      <t xml:space="preserve">exhaust for 5s, 50? reload and 50? handling for 10s
</t>
    </r>
    <r>
      <rPr>
        <rFont val="Arial"/>
        <b/>
        <color rgb="FF181A1B"/>
      </rPr>
      <t>2.5s duration</t>
    </r>
  </si>
  <si>
    <t>Mint Retrograde, Lionfish-4fr, Outrageous Fortune</t>
  </si>
  <si>
    <t>directly powercrept Psychohack, usable for roam and great for exhaust during DPS</t>
  </si>
  <si>
    <t>kill counter (3 minors or 1 elite)</t>
  </si>
  <si>
    <r>
      <rPr>
        <rFont val="Arial"/>
        <color theme="1"/>
      </rPr>
      <t xml:space="preserve">explosion and DoT pool for ?s under enemy
</t>
    </r>
    <r>
      <rPr>
        <rFont val="Arial"/>
        <b/>
        <color theme="1"/>
      </rPr>
      <t>?s duration</t>
    </r>
  </si>
  <si>
    <t>Aberrant Action, Speleologist, Chronophage, Lost Signal, Corrasion</t>
  </si>
  <si>
    <t>kill requirement doesn't scale amazingly into low power content, still nice splash</t>
  </si>
  <si>
    <t>no incoming/outgoing damage for 5s</t>
  </si>
  <si>
    <r>
      <rPr>
        <rFont val="Arial"/>
        <color theme="1"/>
      </rPr>
      <t xml:space="preserve">20 range, 20 handling, 0.85x draw time, ~9-11% damage for 2s
</t>
    </r>
    <r>
      <rPr>
        <rFont val="Arial"/>
        <b/>
        <color theme="1"/>
      </rPr>
      <t>40 range, 40 handling, 0.7x draw time</t>
    </r>
  </si>
  <si>
    <t>Fire and Forget, Retrofit Escapade</t>
  </si>
  <si>
    <t>free ~10% damage boost for upfront burst</t>
  </si>
  <si>
    <r>
      <rPr>
        <rFont val="Arial"/>
        <color theme="1"/>
      </rPr>
      <t xml:space="preserve">all abilities: 0.35% (Trustee), 0.42% (Commemoration), 0.46% (Posterity), 0.86% (Heritage), 1.5% (Succession), 2% (Bequest)
</t>
    </r>
    <r>
      <rPr>
        <rFont val="Arial"/>
        <b/>
        <color theme="1"/>
      </rPr>
      <t>doubled</t>
    </r>
  </si>
  <si>
    <t>Commemoration, Bequest, Trustee, Posterity</t>
  </si>
  <si>
    <t>quite noticeable with splash effects, seems to have similar tick values to Legacy, but to all abilities</t>
  </si>
  <si>
    <t>weapon kill</t>
  </si>
  <si>
    <t>light super: 5% grenade energy
dark super: 5% melee energy</t>
  </si>
  <si>
    <t>Forbearance, Succession, The Mountaintop, The Recluse, Luna's Howl, Midnight Coup, Blast Furnace</t>
  </si>
  <si>
    <t>straightforward extra ability energy</t>
  </si>
  <si>
    <t>reloading within 15m of ally</t>
  </si>
  <si>
    <r>
      <rPr>
        <rFont val="Arial"/>
        <color theme="1"/>
      </rPr>
      <t xml:space="preserve">10% mag overflow per ally
</t>
    </r>
    <r>
      <rPr>
        <rFont val="Arial"/>
        <b/>
        <color theme="1"/>
      </rPr>
      <t>doubled</t>
    </r>
  </si>
  <si>
    <t>Psychopomp, Watchful Eye, Qullim's Terminus, Defiance of Yasmin, Afterlight</t>
  </si>
  <si>
    <t>free overflow effect especially for low mag DPS options</t>
  </si>
  <si>
    <t>passive
ammo type</t>
  </si>
  <si>
    <t>?% damage to shields
+?% special progress (primary/heavy), +?% heavy progress (special)</t>
  </si>
  <si>
    <t>The Heron, Action Item</t>
  </si>
  <si>
    <t>first ammo generating origin trait</t>
  </si>
  <si>
    <t>weapon kill while below 70? HP</t>
  </si>
  <si>
    <r>
      <rPr>
        <rFont val="Arial"/>
        <color theme="1"/>
      </rPr>
      <t xml:space="preserve">enhanced radar, less accurate enemies, no passive pings on enemy radar for 10s
</t>
    </r>
    <r>
      <rPr>
        <rFont val="Arial"/>
        <b/>
        <color theme="1"/>
      </rPr>
      <t>?s duration</t>
    </r>
  </si>
  <si>
    <t>Tinasha's Mastery, Multimach CCX, Tusk of the Boar, Archon's Thunder</t>
  </si>
  <si>
    <t>Amplified deaggro effect, very noticeable but HP threshold is quite low</t>
  </si>
  <si>
    <t>splash
stats</t>
  </si>
  <si>
    <t>rapid final blows, any source
12 killstreak, then kill</t>
  </si>
  <si>
    <r>
      <rPr>
        <rFont val="Arial"/>
        <color rgb="FF181A1B"/>
      </rPr>
      <t xml:space="preserve">? handling and ? reload per stack for ?s
elemental damage explosion on kills
</t>
    </r>
    <r>
      <rPr>
        <rFont val="Arial"/>
        <b/>
        <color rgb="FF181A1B"/>
      </rPr>
      <t>2 less kills</t>
    </r>
    <r>
      <rPr>
        <rFont val="Arial"/>
        <color rgb="FF181A1B"/>
      </rPr>
      <t xml:space="preserve">
</t>
    </r>
  </si>
  <si>
    <t>very unrealistic killstreak requirement, stats are nice though, blast is quite underwhelming</t>
  </si>
  <si>
    <t>ally revive or finisher</t>
  </si>
  <si>
    <t>refills mag when it hits 0</t>
  </si>
  <si>
    <t>Cold Comfort, Greasy Luck</t>
  </si>
  <si>
    <t>outclassed completely by other origin traits, but still better than most roam and DPS origin traits</t>
  </si>
  <si>
    <t>hits (autos/SMGs: 2%, sidearms: 4%, bows/LFRs: 10%, swords: ?%)</t>
  </si>
  <si>
    <r>
      <rPr>
        <rFont val="Arial"/>
        <color theme="1"/>
      </rPr>
      <t xml:space="preserve">25% mag refill, -10% ADS movement penalty, 0.85x draw time, ? charge rate for 7s, 4s ICD
</t>
    </r>
    <r>
      <rPr>
        <rFont val="Arial"/>
        <b/>
        <color theme="1"/>
      </rPr>
      <t>doubled?</t>
    </r>
  </si>
  <si>
    <t>Scintillation, Irukandji, Fortunate Star</t>
  </si>
  <si>
    <t>underrated post-nerf, allows for full reserve dumps in some cases</t>
  </si>
  <si>
    <t>hits or kills</t>
  </si>
  <si>
    <t>scaling infinite duration buff to range, stability, handling, reload, charge rate, and guard resistance until death</t>
  </si>
  <si>
    <t>Anonymous Autumn, Tusk of the Boar, Multimach CCX, Harsh Language, Jurassic Green, Theodolite</t>
  </si>
  <si>
    <t>surprisingly easy to stack on certain weapon types, solid and reliable reload boost if no deaths</t>
  </si>
  <si>
    <t>3 minors or 1 major kill within 10s? (? stacks for ?s), then sprinting for ?s</t>
  </si>
  <si>
    <t>?% mag refill, 0.?x draw time for ?s</t>
  </si>
  <si>
    <t>Eclipstic Distaff, Backfang</t>
  </si>
  <si>
    <t>decent QoL on small mag or high lethality weapon types</t>
  </si>
  <si>
    <t>4 hipfire hits with &lt;4s between each</t>
  </si>
  <si>
    <r>
      <rPr>
        <rFont val="Arial"/>
        <color theme="1"/>
      </rPr>
      <t xml:space="preserve">20 handling, 20 reload, 20 range, 0.9x reload duration, 1.5deg cone, -10% ADS movement penalty for 4s
</t>
    </r>
    <r>
      <rPr>
        <rFont val="Arial"/>
        <b/>
        <color theme="1"/>
      </rPr>
      <t>40 handling, 40 reload</t>
    </r>
  </si>
  <si>
    <t>Wilderflight, Yeartide Apex</t>
  </si>
  <si>
    <t>free reload scalar, especially on weapons where hip-firing is natural</t>
  </si>
  <si>
    <t>weapon damage or kill (5 stacks)</t>
  </si>
  <si>
    <t>? stability, ? handling, ? reload, ? charge rate per stack
stacks decay every ?s</t>
  </si>
  <si>
    <t>Adamantite, Psychopomp</t>
  </si>
  <si>
    <t>like Field-Tested but with decay</t>
  </si>
  <si>
    <t>damage to enemy shield
breaking enemy shield</t>
  </si>
  <si>
    <t>~34% damage to shields (includes Barriers), ~22% to overshields
disorients enemy (and surroundings if matching)</t>
  </si>
  <si>
    <t>Reckless Oracle, Ancient Gospel</t>
  </si>
  <si>
    <t>second half of effect only useful on shield-break add clear weapons, and niche</t>
  </si>
  <si>
    <t>Air-Cooled Core</t>
  </si>
  <si>
    <t>full mag or low heat (&lt;10%)
0.5s sprint</t>
  </si>
  <si>
    <t>? handling, ?% ADS penalty
? reload/vent for 6s</t>
  </si>
  <si>
    <t>Uncivil Discourse, Refurbished A499, M-17 "Fast Talker"</t>
  </si>
  <si>
    <t>basically just free reload boost that is often active</t>
  </si>
  <si>
    <t>20 damage received (5 stacks), consumed on reload</t>
  </si>
  <si>
    <t>10 reload, ~-2% reload duration per stack, up to 5x</t>
  </si>
  <si>
    <t>Stormchaser, Unforgiven</t>
  </si>
  <si>
    <t>decent neutral reload option, not necessarily consistent</t>
  </si>
  <si>
    <t>weapon kill within 20s of class ability (3 stacks)</t>
  </si>
  <si>
    <r>
      <rPr>
        <rFont val="Arial"/>
        <color rgb="FF181A1B"/>
      </rPr>
      <t xml:space="preserve">2% DR per stack for 10s
</t>
    </r>
    <r>
      <rPr>
        <rFont val="Arial"/>
        <b/>
        <color rgb="FF181A1B"/>
      </rPr>
      <t>2.5s duration</t>
    </r>
  </si>
  <si>
    <t>Mint Retrograde, Mercury-A, Pre Astyanax IV, Aurora Dawn, Theodolite</t>
  </si>
  <si>
    <t>very minor DR but pretty easy to get without playing differently</t>
  </si>
  <si>
    <t>stats
damage</t>
  </si>
  <si>
    <t>another weapon equipped with this trait (Conditional Finality included)</t>
  </si>
  <si>
    <r>
      <rPr>
        <rFont val="Arial"/>
        <color theme="1"/>
      </rPr>
      <t xml:space="preserve">10 handling per weapon, 20 reload for 2 weapons, 0.95x reload duration, 3.33%/10% damage to Dread/Lucent Hive for 1/2 weapons
</t>
    </r>
    <r>
      <rPr>
        <rFont val="Arial"/>
        <b/>
        <color theme="1"/>
      </rPr>
      <t>damage bonus doubled</t>
    </r>
  </si>
  <si>
    <t>Koraxis's Distress, Briar's Contempt</t>
  </si>
  <si>
    <t>decent damage boost on specific enemies</t>
  </si>
  <si>
    <t>damage against vehicles, turrets, and constructs</t>
  </si>
  <si>
    <r>
      <rPr>
        <rFont val="Arial"/>
        <color theme="1"/>
      </rPr>
      <t xml:space="preserve">15% (vehicles), 30% (turrets, constructs), 45% (crystals)
</t>
    </r>
    <r>
      <rPr>
        <rFont val="Arial"/>
        <b/>
        <color theme="1"/>
      </rPr>
      <t>20% vehicles, 60% turrets/constructs</t>
    </r>
  </si>
  <si>
    <t>Synanceia, Outrageous Fortune, Phoneutria Fera, Aureus Neutralizer, Rake Angle, Veleda-F, Ragnhild-D, Crowning Duologue</t>
  </si>
  <si>
    <t>solid damage boost on niche enemy types and crystals</t>
  </si>
  <si>
    <t>reloading within 15m of certain pickups</t>
  </si>
  <si>
    <t>picks up ammo bricks, motes, and crests</t>
  </si>
  <si>
    <t>New Pacific Epitaph, Wilderflight, A Sudden Death, Greasy Luck</t>
  </si>
  <si>
    <t>nice neutral option, useful for speedrunning, not very helpful in most gameplay</t>
  </si>
  <si>
    <t>weapon kill with full super</t>
  </si>
  <si>
    <r>
      <rPr>
        <rFont val="Arial"/>
        <color theme="1"/>
      </rPr>
      <t xml:space="preserve">20 grenade, 20 melee for 12s
</t>
    </r>
    <r>
      <rPr>
        <rFont val="Arial"/>
        <b/>
        <color theme="1"/>
      </rPr>
      <t>stats doubled</t>
    </r>
  </si>
  <si>
    <t>Fixed Odds, CALUS Mini-Tool, Drang (Baroque), Goldtusk</t>
  </si>
  <si>
    <t>nice stat bump with potentially annoying requirement, definitely for neutral and not for DPS</t>
  </si>
  <si>
    <t>kills</t>
  </si>
  <si>
    <t>bolts spawned on enemy corpse (minors: 1, elites: 3, minibosses: ?, bosses/champs: 7), 6s ICD</t>
  </si>
  <si>
    <t>Stars in Shadow, The Summoner, Pre Astyanax IV, Returned Memory</t>
  </si>
  <si>
    <t>really noticeable ICD, bolts are one of the worst splash effects from origin traits</t>
  </si>
  <si>
    <t>refill
survivability</t>
  </si>
  <si>
    <t>champ stun</t>
  </si>
  <si>
    <t>mag refill, 60 HP, health regen, 40 class for 3s</t>
  </si>
  <si>
    <t>Lotus-Eater, The Slammer, Rake Angle</t>
  </si>
  <si>
    <t>helpful in champ content for QoL, useless otherwise</t>
  </si>
  <si>
    <t>ally within 15m (5 stacks)</t>
  </si>
  <si>
    <t>? range, 5 handling, 5 charge rate, -2.5% draw time per stack</t>
  </si>
  <si>
    <t>Non-Denouement, Summum Bonum</t>
  </si>
  <si>
    <t>stat boosts largely unhelpful outside of bow/sword, and even then there are better origins for draw/charge</t>
  </si>
  <si>
    <t>healing, reviving, empowering, or 3.0 provision to allies (provides 10 stacks)</t>
  </si>
  <si>
    <r>
      <rPr>
        <rFont val="Arial"/>
        <color theme="1"/>
      </rPr>
      <t xml:space="preserve">30 handling, 30 reload, 20 charge rate until no stacks (kills remove 1 each)
</t>
    </r>
    <r>
      <rPr>
        <rFont val="Arial"/>
        <b/>
        <color theme="1"/>
      </rPr>
      <t>doubled</t>
    </r>
  </si>
  <si>
    <t>Regnant, Royal Executioner, Caretaker</t>
  </si>
  <si>
    <t>build-specific stat booster, but very easy upkeep if conditions met</t>
  </si>
  <si>
    <t>last alive or solo</t>
  </si>
  <si>
    <t>20 range, 20 stability, 50 reload, 10 aim assist</t>
  </si>
  <si>
    <t>The Summoner, Incisor, Unexpected Resurgence, Exalted Truth</t>
  </si>
  <si>
    <t>free 50 reload if solo, otherwise useless</t>
  </si>
  <si>
    <t>weapon assist or kill on ally-damaged enemy, once per reload</t>
  </si>
  <si>
    <t>66% mag refill (can overflow), ? reload, ? draw time for ?s</t>
  </si>
  <si>
    <t>Festival Flight, Yeartide Apex, Crowning Duologue</t>
  </si>
  <si>
    <t>awkward and unreliable trigger condition, decent for guaranteed assist gameplay</t>
  </si>
  <si>
    <t>multiple weapon hits (bow/glaive/GL/rocket/sniper: 3, scout: 7, fusion: 14 other primaries: 12-16)</t>
  </si>
  <si>
    <r>
      <rPr>
        <rFont val="Arial"/>
        <color theme="1"/>
      </rPr>
      <t xml:space="preserve">exhausts target for 5s, not refreshable
</t>
    </r>
    <r>
      <rPr>
        <rFont val="Arial"/>
        <b/>
        <color theme="1"/>
      </rPr>
      <t>duration doubled</t>
    </r>
  </si>
  <si>
    <t>The Enigma, Father's Sins</t>
  </si>
  <si>
    <t>complete downgrade from Subjugation and Problem Solver, also has lower QoL</t>
  </si>
  <si>
    <t>ADS for 1s within 60m of enemy</t>
  </si>
  <si>
    <r>
      <rPr>
        <rFont val="Arial"/>
        <color theme="1"/>
      </rPr>
      <t xml:space="preserve">replaces next bullet with identical damage seeking missile
</t>
    </r>
    <r>
      <rPr>
        <rFont val="Arial"/>
        <b/>
        <color theme="1"/>
      </rPr>
      <t>rocket damage increased by ?%</t>
    </r>
  </si>
  <si>
    <t>very niche ranged 12P use case, otherwise pretty bad on other weapons</t>
  </si>
  <si>
    <t>100-50% of mag</t>
  </si>
  <si>
    <t>20-0 stability, 30-0 reload</t>
  </si>
  <si>
    <t>Path of Least Resistance, Ribbontail</t>
  </si>
  <si>
    <t>basically worse Compulsive Reloader</t>
  </si>
  <si>
    <t>grenade use or kill or heal</t>
  </si>
  <si>
    <t>? stability, ~9 reload, ~-1% reload duration per stack, up to 5x, for 7.5s</t>
  </si>
  <si>
    <t>Apex Predator, Chattering Bone, Age-Old Bond</t>
  </si>
  <si>
    <t>duration definitely given grenade uptime requirements, low stat boost for ability usage cost</t>
  </si>
  <si>
    <t>damage dealt</t>
  </si>
  <si>
    <t>? handling, 50 mobility, ? charge rate for 3s
? mobility while stowed</t>
  </si>
  <si>
    <t>free charge rate and handling</t>
  </si>
  <si>
    <t>shield break or vehicle/construct destroyed</t>
  </si>
  <si>
    <r>
      <rPr>
        <rFont val="Arial"/>
        <color theme="1"/>
      </rPr>
      <t xml:space="preserve">40 reload, 0.95x reload duration, and 0.9x draw time for 7s
</t>
    </r>
    <r>
      <rPr>
        <rFont val="Arial"/>
        <b/>
        <color theme="1"/>
      </rPr>
      <t>stats doubled</t>
    </r>
  </si>
  <si>
    <t>Photoinhibition has better effect for similar trigger</t>
  </si>
  <si>
    <t>shield break</t>
  </si>
  <si>
    <t>50% mag refill</t>
  </si>
  <si>
    <t>IKELOS_SG_v1.0.3, IKELOS_SMG_v1.0.3</t>
  </si>
  <si>
    <t>decent QoL effect, trigger too niche</t>
  </si>
  <si>
    <t>ability
survivability</t>
  </si>
  <si>
    <t>filling kill counter (6 minors / 2 majors)</t>
  </si>
  <si>
    <r>
      <rPr>
        <rFont val="Arial"/>
        <color theme="1"/>
      </rPr>
      <t xml:space="preserve">spawns Dawning gift for 10s (10% to abilities, ~20 HP, HP regen)
</t>
    </r>
    <r>
      <rPr>
        <rFont val="Arial"/>
        <b/>
        <color theme="1"/>
      </rPr>
      <t>-1 minor requirement</t>
    </r>
  </si>
  <si>
    <t>Avalanche, Zephyr, Albedo Wing</t>
  </si>
  <si>
    <t>kill counter too steep, effect is mathematically inefficient and requires pickup</t>
  </si>
  <si>
    <t>5% class</t>
  </si>
  <si>
    <t>The Title, Hullabaloo</t>
  </si>
  <si>
    <t>worst ability to regen, very minuscule amounts</t>
  </si>
  <si>
    <t>reload after damage dealt (3 stacks), removed on stow</t>
  </si>
  <si>
    <t>10-45 handling, 10-45 reload, 0.967x-0.9x reload duration</t>
  </si>
  <si>
    <t>Chroma Rush, Gridskipper</t>
  </si>
  <si>
    <t>requires a manual reload before even getting to 1st stage</t>
  </si>
  <si>
    <t>10 HP</t>
  </si>
  <si>
    <t>Lotus-Eater, Rake Angle, Undercurrent</t>
  </si>
  <si>
    <t>very low HP gains unless multikill</t>
  </si>
  <si>
    <t>no incoming/outgoing damage for 5s
kills reduce timer to 1.5s</t>
  </si>
  <si>
    <t>20 handling, 40 reload, 0.95x reload duration, 25% movement speed on swords</t>
  </si>
  <si>
    <t>The Summoner, Unwavering Duty, Incisor, Unexpected Resurgence, Exalted Truth</t>
  </si>
  <si>
    <t>awkward reload timing since waiting after kill to reload is counterintuitive</t>
  </si>
  <si>
    <t>critical health or ally death</t>
  </si>
  <si>
    <r>
      <rPr>
        <rFont val="Arial"/>
        <color theme="1"/>
      </rPr>
      <t xml:space="preserve">mag refill, 5 range, 10 handling, 0.975x charge/draw time for 11s
</t>
    </r>
    <r>
      <rPr>
        <rFont val="Arial"/>
        <b/>
        <color theme="1"/>
      </rPr>
      <t>doubled bonuses</t>
    </r>
  </si>
  <si>
    <t>Scatter Signal, Doomed Petitioner</t>
  </si>
  <si>
    <t>bad activation requirement, decent effect</t>
  </si>
  <si>
    <t>swapping to weapon after taking damage</t>
  </si>
  <si>
    <r>
      <rPr>
        <rFont val="Arial"/>
        <color theme="1"/>
      </rPr>
      <t xml:space="preserve">30 handling, 100 guard resist, 100 guard endurance, 100 charge rate for 4s
</t>
    </r>
    <r>
      <rPr>
        <rFont val="Arial"/>
        <b/>
        <color theme="1"/>
      </rPr>
      <t>handling doubled</t>
    </r>
  </si>
  <si>
    <t>Half-Truths, The Other Half, Pardon Our Dust, Retraced Path, Wastelander M5</t>
  </si>
  <si>
    <t>free handling and charge rate boost for roam-style usage</t>
  </si>
  <si>
    <r>
      <rPr>
        <rFont val="Arial"/>
        <color theme="1"/>
      </rPr>
      <t xml:space="preserve">40 handling, 20% flinch resist for 6s
</t>
    </r>
    <r>
      <rPr>
        <rFont val="Arial"/>
        <b/>
        <color theme="1"/>
      </rPr>
      <t>stats doubled</t>
    </r>
  </si>
  <si>
    <t>Exalted Truth, Fugue-55, Retrofit Escapade</t>
  </si>
  <si>
    <t>handling only kicks in halfway through you benefiting from it</t>
  </si>
  <si>
    <t>no allies within 15m</t>
  </si>
  <si>
    <r>
      <rPr>
        <rFont val="Arial"/>
        <color theme="1"/>
      </rPr>
      <t xml:space="preserve">-10% ADS movement penalty, 0.85x ADS duration
</t>
    </r>
    <r>
      <rPr>
        <rFont val="Arial"/>
        <b/>
        <color theme="1"/>
      </rPr>
      <t>?% ADS movement penalty, ?x ADS duration</t>
    </r>
  </si>
  <si>
    <t>basically Snapshot on specials, QoL only</t>
  </si>
  <si>
    <t>no abilities charged</t>
  </si>
  <si>
    <r>
      <rPr>
        <rFont val="Arial"/>
        <color theme="1"/>
      </rPr>
      <t xml:space="preserve">20 stability, 60 handling, 60 reload, 50 charge rate, 40 guard endurance
</t>
    </r>
    <r>
      <rPr>
        <rFont val="Arial"/>
        <b/>
        <color theme="1"/>
      </rPr>
      <t>stats doubled</t>
    </r>
  </si>
  <si>
    <t>awful activation requirement, great stat bumps though</t>
  </si>
  <si>
    <t>dealing damage
weapon kill</t>
  </si>
  <si>
    <r>
      <rPr>
        <rFont val="Arial"/>
        <color rgb="FF181A1B"/>
      </rPr>
      <t xml:space="preserve">15 AE, ?% movement speed for ?s
30 AE, ?% movement speed for ?s
</t>
    </r>
    <r>
      <rPr>
        <rFont val="Arial"/>
        <b/>
        <color rgb="FF181A1B"/>
      </rPr>
      <t>1s duration</t>
    </r>
  </si>
  <si>
    <t>Forgiveness, Aisha's Embrace, Unwavering Duty, Aureus Neutralizer, Auric Disabler</t>
  </si>
  <si>
    <t>free movement speed but not very useful</t>
  </si>
  <si>
    <t>dealing or receiving damage every 0.5?s for 2s</t>
  </si>
  <si>
    <r>
      <rPr>
        <rFont val="Arial"/>
        <color rgb="FF181A1B"/>
      </rPr>
      <t xml:space="preserve">10? stability, 10? handling for 6s
</t>
    </r>
    <r>
      <rPr>
        <rFont val="Arial"/>
        <b/>
        <color rgb="FF181A1B"/>
      </rPr>
      <t>?s duration</t>
    </r>
  </si>
  <si>
    <t>Unwavering Duty, Forgiveness, Pure Recollection, Aisha's Embrace</t>
  </si>
  <si>
    <t>unnoticeable stat bumps</t>
  </si>
  <si>
    <t>100-50% mag
50-0% mag</t>
  </si>
  <si>
    <t>10-5 range, 10-5 handling
0-3% increased damage</t>
  </si>
  <si>
    <t>A Sudden Death, Darkest Before</t>
  </si>
  <si>
    <t>unnoticeable stat bumps and damage</t>
  </si>
  <si>
    <t>firing or swinging</t>
  </si>
  <si>
    <t>2 range, -1.5% cone, ?% lunge, ?% velocity per stack (up to 5) for 2s</t>
  </si>
  <si>
    <t>quirky sword lunge increase, otherwise useless</t>
  </si>
  <si>
    <t>melee damage (+10s per proc)</t>
  </si>
  <si>
    <r>
      <rPr>
        <rFont val="Arial"/>
        <color theme="1"/>
      </rPr>
      <t xml:space="preserve">10 range, 10 aim assist for 10s, up to 20s
</t>
    </r>
    <r>
      <rPr>
        <rFont val="Arial"/>
        <b/>
        <color theme="1"/>
      </rPr>
      <t>stats doubled</t>
    </r>
  </si>
  <si>
    <t>Tarnished Mettle, Brigand's Law, Planck's Stride</t>
  </si>
  <si>
    <t>useless stats in PvE</t>
  </si>
  <si>
    <t>firing/swinging after ammo pickup</t>
  </si>
  <si>
    <t>15 range, 15% flinch resist, 100 charge rate for 1.5s</t>
  </si>
  <si>
    <t>Just in Case</t>
  </si>
  <si>
    <t>awful requirement for insanely short effect window</t>
  </si>
  <si>
    <t>standing up after crouching for 2 seconds</t>
  </si>
  <si>
    <r>
      <rPr>
        <rFont val="Arial"/>
        <color theme="1"/>
      </rPr>
      <t xml:space="preserve">? handling, 10 reload for 5s
</t>
    </r>
    <r>
      <rPr>
        <rFont val="Arial"/>
        <b/>
        <color theme="1"/>
      </rPr>
      <t>doubled</t>
    </r>
  </si>
  <si>
    <t>very unnatural activation requirement for extremely mediocre effect</t>
  </si>
  <si>
    <t>Set</t>
  </si>
  <si>
    <t>Bonus</t>
  </si>
  <si>
    <t>Pcs</t>
  </si>
  <si>
    <r>
      <rPr>
        <rFont val="Arial"/>
        <b/>
        <color theme="1"/>
      </rPr>
      <t xml:space="preserve">Yearning Echo
</t>
    </r>
    <r>
      <rPr>
        <rFont val="Arial"/>
        <b/>
        <color theme="1"/>
        <sz val="8.0"/>
      </rPr>
      <t>Grasp of Avarice</t>
    </r>
  </si>
  <si>
    <t>Overflowing Coffers</t>
  </si>
  <si>
    <t>ability
splash</t>
  </si>
  <si>
    <t xml:space="preserve">orb/elemental pickup with stacks
Tangle destruction with stacks
critical health
</t>
  </si>
  <si>
    <t xml:space="preserve">?% more energy
36x Tangle damage (any stacks)
4 orbs (10 stacks)
</t>
  </si>
  <si>
    <t>Whirling Maelstrom does ~13K base DPS, definitely will be patched</t>
  </si>
  <si>
    <r>
      <rPr>
        <rFont val="Arial"/>
        <b/>
        <color theme="1"/>
      </rPr>
      <t xml:space="preserve">TM Custom
</t>
    </r>
    <r>
      <rPr>
        <rFont val="Arial"/>
        <b/>
        <color theme="1"/>
        <sz val="8.0"/>
      </rPr>
      <t>Spire of the Watcher</t>
    </r>
  </si>
  <si>
    <t>High Noon</t>
  </si>
  <si>
    <t>precision damage within ?s of weapon ready</t>
  </si>
  <si>
    <t>7% damage for 3s (doubled for Tex weapons)</t>
  </si>
  <si>
    <t>good with Huckleberry PKs, Wilderflight swap, also generally great for swap damage</t>
  </si>
  <si>
    <r>
      <rPr>
        <rFont val="Arial"/>
        <b/>
        <color theme="1"/>
      </rPr>
      <t xml:space="preserve">Smoke Jumper
</t>
    </r>
    <r>
      <rPr>
        <rFont val="Arial"/>
        <b/>
        <i/>
        <color theme="1"/>
        <sz val="8.0"/>
      </rPr>
      <t>Solo/Fireteam Ops</t>
    </r>
  </si>
  <si>
    <t>Ride Together, Die Together</t>
  </si>
  <si>
    <t>orb pickup</t>
  </si>
  <si>
    <t>40% DR decaying for 3s</t>
  </si>
  <si>
    <t>disgustingly OP on orb spam builds (Combination Blow, Knockout, Attrition Orbs), survivability during damage</t>
  </si>
  <si>
    <r>
      <rPr>
        <rFont val="Arial"/>
        <b/>
        <color theme="1"/>
      </rPr>
      <t xml:space="preserve">Ferropotent
</t>
    </r>
    <r>
      <rPr>
        <rFont val="Arial"/>
        <b/>
        <i/>
        <color theme="1"/>
        <sz val="8.0"/>
      </rPr>
      <t>Solo/Fireteam Ops</t>
    </r>
  </si>
  <si>
    <t>Rapid Repair</t>
  </si>
  <si>
    <t>shield healing (except orb pickup), once per full heal</t>
  </si>
  <si>
    <t>10% DR and ?% flinch resist for 7s</t>
  </si>
  <si>
    <t>best universal passive DR for 2pc.</t>
  </si>
  <si>
    <r>
      <rPr>
        <rFont val="Arial"/>
        <b/>
        <color theme="1"/>
      </rPr>
      <t xml:space="preserve">Sage Protector
</t>
    </r>
    <r>
      <rPr>
        <rFont val="Arial"/>
        <b/>
        <i/>
        <color theme="1"/>
        <sz val="8.0"/>
      </rPr>
      <t>Equilibrium</t>
    </r>
  </si>
  <si>
    <t>Combat Meditation</t>
  </si>
  <si>
    <t>sword damage</t>
  </si>
  <si>
    <t>5% grenade and class
10% if Blade Focus active</t>
  </si>
  <si>
    <t>Bakris bypass, grenade spam builds, pairs excellently with multi-tick sword damage, potentially meta-defining</t>
  </si>
  <si>
    <r>
      <rPr>
        <rFont val="Arial"/>
        <b/>
        <color theme="1"/>
      </rPr>
      <t xml:space="preserve">Promise
</t>
    </r>
    <r>
      <rPr>
        <rFont val="Arial"/>
        <b/>
        <color theme="1"/>
        <sz val="8.0"/>
      </rPr>
      <t>Salvation's Edge</t>
    </r>
  </si>
  <si>
    <t>Stable Resonance</t>
  </si>
  <si>
    <t>survivability
damage</t>
  </si>
  <si>
    <t>elite+ kill</t>
  </si>
  <si>
    <t>25% DR and 7% damage for 12s, refreshable</t>
  </si>
  <si>
    <t>very good in encounters with high elite+ presence, very easy upkeep and potential effect on boss damage</t>
  </si>
  <si>
    <r>
      <rPr>
        <rFont val="Arial"/>
        <b/>
        <color theme="1"/>
      </rPr>
      <t xml:space="preserve">Nezarec's Nightmare
</t>
    </r>
    <r>
      <rPr>
        <rFont val="Arial"/>
        <b/>
        <color theme="1"/>
        <sz val="8.0"/>
      </rPr>
      <t>Root of Nightmares</t>
    </r>
  </si>
  <si>
    <t>Dream-Devourer</t>
  </si>
  <si>
    <t>elite+ finisher
Devour</t>
  </si>
  <si>
    <t>Devour
20% DR</t>
  </si>
  <si>
    <t>pretty solid effect but there are arguably better 2+2 combos and 2pc. isn't that insane</t>
  </si>
  <si>
    <r>
      <rPr>
        <rFont val="Arial"/>
        <b/>
        <color theme="1"/>
      </rPr>
      <t xml:space="preserve">AION Adapter
</t>
    </r>
    <r>
      <rPr>
        <rFont val="Arial"/>
        <b/>
        <i/>
        <color theme="1"/>
        <sz val="8.0"/>
      </rPr>
      <t>Kepler - Mythic</t>
    </r>
  </si>
  <si>
    <t>Force Absorption</t>
  </si>
  <si>
    <t>micro-missile, rocket, or GL kill</t>
  </si>
  <si>
    <t>20% splash DR and 60% self explosive DR for 15s</t>
  </si>
  <si>
    <t>essentially universally useful DR for playing a meta build</t>
  </si>
  <si>
    <r>
      <rPr>
        <rFont val="Arial"/>
        <b/>
        <color theme="1"/>
      </rPr>
      <t xml:space="preserve">Exodus Down
</t>
    </r>
    <r>
      <rPr>
        <rFont val="Arial"/>
        <b/>
        <color theme="1"/>
        <sz val="8.0"/>
      </rPr>
      <t>Nessus</t>
    </r>
  </si>
  <si>
    <t>Repurposed Charge</t>
  </si>
  <si>
    <t>gaining, losing, or spending Armor Charge</t>
  </si>
  <si>
    <t>13% (1) / 21% (2) / 30% (3) / 35% (6) DR for 6 / 8 / 11 / 13 / 15 / 17s, no healing (bugged)</t>
  </si>
  <si>
    <t>already really good even without healing, basically guaranteed 20% DR if running Stacks on Stacks with option for more</t>
  </si>
  <si>
    <r>
      <rPr>
        <rFont val="Arial"/>
        <b/>
        <color theme="1"/>
      </rPr>
      <t xml:space="preserve">Oryx's Memory
</t>
    </r>
    <r>
      <rPr>
        <rFont val="Arial"/>
        <b/>
        <color theme="1"/>
        <sz val="8.0"/>
      </rPr>
      <t>King's Fall</t>
    </r>
  </si>
  <si>
    <t>Iron Sharpens Iron</t>
  </si>
  <si>
    <t>grants 2-8x special ammo progress and 3-6x heavy ammo progress</t>
  </si>
  <si>
    <t>absolutely insane for ammo generation, especially in encounters with heavy elite+ presence</t>
  </si>
  <si>
    <r>
      <rPr>
        <rFont val="Arial"/>
        <b/>
        <color theme="1"/>
      </rPr>
      <t xml:space="preserve">Crota's Memory
</t>
    </r>
    <r>
      <rPr>
        <rFont val="Arial"/>
        <b/>
        <color theme="1"/>
        <sz val="8.0"/>
      </rPr>
      <t>Crota's End</t>
    </r>
  </si>
  <si>
    <t>Power of the Son</t>
  </si>
  <si>
    <t>being in combat for 12s, ends when out of combat for 7s</t>
  </si>
  <si>
    <t>?% flinch resist and 15% DR (increases to 25% at 24s like Chaos Reshaped)</t>
  </si>
  <si>
    <t>best universal passive DR for 4pc., only downside is CE 2pc. doesn't have DR</t>
  </si>
  <si>
    <r>
      <rPr>
        <rFont val="Arial"/>
        <b/>
        <color theme="1"/>
      </rPr>
      <t xml:space="preserve">Oryx's Memory
</t>
    </r>
    <r>
      <rPr>
        <rFont val="Arial"/>
        <b/>
        <color theme="1"/>
        <sz val="8.0"/>
      </rPr>
      <t>King's Fall</t>
    </r>
  </si>
  <si>
    <t>Ascendant Escape</t>
  </si>
  <si>
    <t>critical health after elite+ kill</t>
  </si>
  <si>
    <t>invisibility for 6-8s, no ICD</t>
  </si>
  <si>
    <t>instant deaggro once per elite+ kill, great for survivability</t>
  </si>
  <si>
    <r>
      <rPr>
        <rFont val="Arial"/>
        <b/>
        <color theme="1"/>
      </rPr>
      <t xml:space="preserve">Atheon's Memory
</t>
    </r>
    <r>
      <rPr>
        <rFont val="Arial"/>
        <b/>
        <color theme="1"/>
        <sz val="8.0"/>
      </rPr>
      <t>Vault of Glass</t>
    </r>
  </si>
  <si>
    <t>Collective Power</t>
  </si>
  <si>
    <t>? damage (threshold and hit-based?) with subclass buff active</t>
  </si>
  <si>
    <t>Orb of Power at feet (5s ICD)</t>
  </si>
  <si>
    <t>combined with 2pc., basically guarantees Health stat boost + Armor Charge during DPS, competing with damage increases</t>
  </si>
  <si>
    <r>
      <rPr>
        <rFont val="Arial"/>
        <b/>
        <color theme="1"/>
      </rPr>
      <t xml:space="preserve">Legacy's Oath
</t>
    </r>
    <r>
      <rPr>
        <rFont val="Arial"/>
        <b/>
        <color theme="1"/>
        <sz val="8.0"/>
      </rPr>
      <t>Deep Stone Crypt</t>
    </r>
  </si>
  <si>
    <t>Augmented Servos</t>
  </si>
  <si>
    <t>powered melee kill</t>
  </si>
  <si>
    <t>9m disorienting pulse</t>
  </si>
  <si>
    <t>free constant blind for powered melee spam builds</t>
  </si>
  <si>
    <r>
      <rPr>
        <rFont val="Arial"/>
        <b/>
        <color theme="1"/>
      </rPr>
      <t xml:space="preserve">Dark Age
</t>
    </r>
    <r>
      <rPr>
        <rFont val="Arial"/>
        <b/>
        <color theme="1"/>
        <sz val="8.0"/>
      </rPr>
      <t>Warlord's Ruin</t>
    </r>
  </si>
  <si>
    <t>Healing Initiative</t>
  </si>
  <si>
    <t>class ability with Initiative stacks</t>
  </si>
  <si>
    <t>creates stackable 8s healing drone that deploys 10-50 HP pulses every 2s (5 total)</t>
  </si>
  <si>
    <t>stackable healing effect that doesn't require kills, can keep Initiative uptime with tick projectile swords, just need class uptime</t>
  </si>
  <si>
    <r>
      <rPr>
        <rFont val="Arial"/>
        <b/>
        <color rgb="FF181A1B"/>
      </rPr>
      <t xml:space="preserve">Swordmaster
</t>
    </r>
    <r>
      <rPr>
        <rFont val="Arial"/>
        <b/>
        <i/>
        <color rgb="FF181A1B"/>
        <sz val="8.0"/>
      </rPr>
      <t>Pinnacle Ops</t>
    </r>
  </si>
  <si>
    <t>Stesso Tempo</t>
  </si>
  <si>
    <t>blocking damage with glaive or sword</t>
  </si>
  <si>
    <t>50% DR for 3s after dropping guard, refreshable by blocking again even without damage</t>
  </si>
  <si>
    <t>insane basically constant DR for just tapping with a glaive or sword, but still loadout-restrictive</t>
  </si>
  <si>
    <r>
      <rPr>
        <rFont val="Arial"/>
        <b/>
        <color theme="1"/>
      </rPr>
      <t xml:space="preserve">Promise
</t>
    </r>
    <r>
      <rPr>
        <rFont val="Arial"/>
        <b/>
        <color theme="1"/>
        <sz val="8.0"/>
      </rPr>
      <t>Salvation's Edge</t>
    </r>
  </si>
  <si>
    <t>Resonance Redirection</t>
  </si>
  <si>
    <t>~600 weapon damage (+0) with Stable Resonance</t>
  </si>
  <si>
    <t>8m exhausting explosion (2?s ICD)</t>
  </si>
  <si>
    <t>constant exhaust, only complaint is small blast radius, pretty decent uptime depending on elite+ density</t>
  </si>
  <si>
    <r>
      <rPr>
        <rFont val="Arial"/>
        <b/>
        <color theme="1"/>
      </rPr>
      <t xml:space="preserve">Techsec
</t>
    </r>
    <r>
      <rPr>
        <rFont val="Arial"/>
        <b/>
        <i/>
        <color theme="1"/>
        <sz val="8.0"/>
      </rPr>
      <t>Solo/Fireteam Ops</t>
    </r>
  </si>
  <si>
    <t>Concussive Rounds</t>
  </si>
  <si>
    <t>elite+ kill or kinetic shield break</t>
  </si>
  <si>
    <t>disorienting wave within 10m for 4.5s</t>
  </si>
  <si>
    <t>most game-warping set bonus, but still forces kinetic usage and not the best for certain enemy engagements</t>
  </si>
  <si>
    <r>
      <rPr>
        <rFont val="Arial"/>
        <b/>
        <color theme="1"/>
      </rPr>
      <t xml:space="preserve">Swordmaster
</t>
    </r>
    <r>
      <rPr>
        <rFont val="Arial"/>
        <b/>
        <i/>
        <color theme="1"/>
        <sz val="8.0"/>
      </rPr>
      <t>Pinnacle Ops</t>
    </r>
  </si>
  <si>
    <t>Balestra</t>
  </si>
  <si>
    <t>sword, glaive, or melee damage</t>
  </si>
  <si>
    <t>exhaust for 5s</t>
  </si>
  <si>
    <t>must-pick for sword damage, useful for non-nuclear melee options, glaive builds, and grapple</t>
  </si>
  <si>
    <r>
      <rPr>
        <rFont val="Arial"/>
        <b/>
        <color theme="1"/>
      </rPr>
      <t xml:space="preserve">Great Hunt
</t>
    </r>
    <r>
      <rPr>
        <rFont val="Arial"/>
        <b/>
        <color theme="1"/>
        <sz val="8.0"/>
      </rPr>
      <t>Last Wish</t>
    </r>
  </si>
  <si>
    <t>Taken Barrier</t>
  </si>
  <si>
    <t>grenade kill</t>
  </si>
  <si>
    <t>10% DR for 6s (refreshable)</t>
  </si>
  <si>
    <t>decent on turret/grapple-focused builds, but DR return is pretty disappointing</t>
  </si>
  <si>
    <r>
      <rPr>
        <rFont val="Arial"/>
        <b/>
        <color theme="1"/>
      </rPr>
      <t xml:space="preserve">Pantheos Resplendent
</t>
    </r>
    <r>
      <rPr>
        <rFont val="Arial"/>
        <b/>
        <color theme="1"/>
        <sz val="8.0"/>
      </rPr>
      <t>Pantheon</t>
    </r>
  </si>
  <si>
    <t>Well Prepared</t>
  </si>
  <si>
    <t>ammo pickup
Armor Charge (? stacks)</t>
  </si>
  <si>
    <t>Armor Charge
? Health per stack</t>
  </si>
  <si>
    <t>basically permanent Health stat uptime, and extra Armor Charge without orb production</t>
  </si>
  <si>
    <r>
      <rPr>
        <rFont val="Arial"/>
        <b/>
        <color theme="1"/>
      </rPr>
      <t xml:space="preserve">Great Hunt
</t>
    </r>
    <r>
      <rPr>
        <rFont val="Arial"/>
        <b/>
        <color theme="1"/>
        <sz val="8.0"/>
      </rPr>
      <t>Last Wish</t>
    </r>
  </si>
  <si>
    <t>Taken Armaments</t>
  </si>
  <si>
    <t>grenade kills</t>
  </si>
  <si>
    <t>~3.5x heavy ammo progress</t>
  </si>
  <si>
    <t>sounds good on paper, in reality pretty niche outside of most likely just Getaway</t>
  </si>
  <si>
    <r>
      <rPr>
        <rFont val="Arial"/>
        <b/>
        <color theme="1"/>
      </rPr>
      <t xml:space="preserve">Bushido
</t>
    </r>
    <r>
      <rPr>
        <rFont val="Arial"/>
        <b/>
        <i/>
        <color theme="1"/>
        <sz val="8.0"/>
      </rPr>
      <t>Pinnacle Ops</t>
    </r>
  </si>
  <si>
    <t>Iaido</t>
  </si>
  <si>
    <t>weapon kill within 5s of reload or ready, 3s ICD</t>
  </si>
  <si>
    <t>35 HP</t>
  </si>
  <si>
    <t>consistent passive healing on builds that lack sustain, but not really that noticeable</t>
  </si>
  <si>
    <r>
      <rPr>
        <rFont val="Arial"/>
        <b/>
        <color rgb="FF181A1B"/>
      </rPr>
      <t xml:space="preserve">Sage Protector
</t>
    </r>
    <r>
      <rPr>
        <rFont val="Arial"/>
        <b/>
        <i/>
        <color rgb="FF181A1B"/>
        <sz val="8.0"/>
      </rPr>
      <t>Equilibrium</t>
    </r>
  </si>
  <si>
    <t>Blade Focus</t>
  </si>
  <si>
    <t>guarding for 1.35s, then hitting within 1s</t>
  </si>
  <si>
    <t>10% sword damage, 2x lunge for 7s</t>
  </si>
  <si>
    <t>damage increase not insanely substantial given block requirement, gives up 2pc neutral</t>
  </si>
  <si>
    <r>
      <rPr>
        <rFont val="Arial"/>
        <b/>
        <color theme="1"/>
      </rPr>
      <t xml:space="preserve">Collective Psyche
</t>
    </r>
    <r>
      <rPr>
        <rFont val="Arial"/>
        <b/>
        <i/>
        <color theme="1"/>
        <sz val="8.0"/>
      </rPr>
      <t>Desert Perpetual</t>
    </r>
  </si>
  <si>
    <t>Doppler Effect</t>
  </si>
  <si>
    <t>passive</t>
  </si>
  <si>
    <t>solar buffs and strand debuffs last 50% longer, 70% with Solace/Continuity</t>
  </si>
  <si>
    <t>saves Solace fragment slot, decent for Restoration usage on Prismatic hunter, but overshadowed by S tier 2pcs.</t>
  </si>
  <si>
    <r>
      <rPr>
        <rFont val="Arial"/>
        <b/>
        <color theme="1"/>
      </rPr>
      <t xml:space="preserve">Crota's Memory
</t>
    </r>
    <r>
      <rPr>
        <rFont val="Arial"/>
        <b/>
        <color theme="1"/>
        <sz val="8.0"/>
      </rPr>
      <t>Crota's End</t>
    </r>
  </si>
  <si>
    <t>Cursed Fist</t>
  </si>
  <si>
    <t>same radius as origin trait Cursed Thrall explosion, less damage (257 at +0)</t>
  </si>
  <si>
    <t>like Augmented Servos but does more damage and doesn't blind, slightly worse overall</t>
  </si>
  <si>
    <r>
      <rPr>
        <rFont val="Arial"/>
        <b/>
        <color theme="1"/>
      </rPr>
      <t xml:space="preserve">Nezarec's Nightmare
</t>
    </r>
    <r>
      <rPr>
        <rFont val="Arial"/>
        <b/>
        <color theme="1"/>
        <sz val="8.0"/>
      </rPr>
      <t>Root of Nightmares</t>
    </r>
  </si>
  <si>
    <t>Bad Dreams</t>
  </si>
  <si>
    <t>3 subclass-debuffed kills, no ICD or rank requirement</t>
  </si>
  <si>
    <t>Orb of Power</t>
  </si>
  <si>
    <t>free extra orb source without siphons</t>
  </si>
  <si>
    <r>
      <rPr>
        <rFont val="Arial"/>
        <b/>
        <color theme="1"/>
      </rPr>
      <t xml:space="preserve">Ferropotent
</t>
    </r>
    <r>
      <rPr>
        <rFont val="Arial"/>
        <b/>
        <i/>
        <color theme="1"/>
        <sz val="8.0"/>
      </rPr>
      <t>Solo/Fireteam Ops</t>
    </r>
  </si>
  <si>
    <t>Built From Scratch</t>
  </si>
  <si>
    <t>ammo below ?%</t>
  </si>
  <si>
    <t>primary kills give 35% more special progress, special kills give 25% more heavy progress</t>
  </si>
  <si>
    <t>only at this placement because of 2pc effect underneath, 4pc ammo is just okay</t>
  </si>
  <si>
    <r>
      <rPr>
        <rFont val="Arial"/>
        <b/>
        <color theme="1"/>
      </rPr>
      <t xml:space="preserve">Iron Panoply
</t>
    </r>
    <r>
      <rPr>
        <rFont val="Arial"/>
        <b/>
        <i/>
        <color theme="1"/>
        <sz val="8.0"/>
      </rPr>
      <t>Iron Banner</t>
    </r>
  </si>
  <si>
    <t>Iron Conviction</t>
  </si>
  <si>
    <t>survivability
ammo</t>
  </si>
  <si>
    <t>critical health</t>
  </si>
  <si>
    <t>30? ammo gen, ?% flinch resist, 15?% DR within 15?m for 7s, refreshable</t>
  </si>
  <si>
    <t>passive emergency DR, very easily extendable in background, 2pc. bonus pairs well and is one of the better options</t>
  </si>
  <si>
    <r>
      <rPr>
        <rFont val="Arial"/>
        <b/>
        <color theme="1"/>
      </rPr>
      <t xml:space="preserve">Prodigious Allegiance
</t>
    </r>
    <r>
      <rPr>
        <rFont val="Arial"/>
        <b/>
        <i/>
        <color theme="1"/>
        <sz val="8.0"/>
      </rPr>
      <t>Crucible</t>
    </r>
  </si>
  <si>
    <t>Pleas Heard</t>
  </si>
  <si>
    <t>auto rifle, scout rifle, or sidearm kill-reload within ?s</t>
  </si>
  <si>
    <t>12.5 HP/s until interrupted by damage</t>
  </si>
  <si>
    <t>essentially guaranteed small amounts of regen on rocket sidearm reload</t>
  </si>
  <si>
    <r>
      <rPr>
        <rFont val="Arial"/>
        <b/>
        <color theme="1"/>
      </rPr>
      <t xml:space="preserve">Twofold Crown
</t>
    </r>
    <r>
      <rPr>
        <rFont val="Arial"/>
        <b/>
        <i/>
        <color theme="1"/>
        <sz val="8.0"/>
      </rPr>
      <t>Trials</t>
    </r>
  </si>
  <si>
    <t>Crook and Flail</t>
  </si>
  <si>
    <t>ammo brick pickup</t>
  </si>
  <si>
    <t>70 HP</t>
  </si>
  <si>
    <t>brick pickup every 6s to match Iaido, requires walking over or Shoot to Loot, synergy with Ascension + Marksman's</t>
  </si>
  <si>
    <r>
      <rPr>
        <rFont val="Arial"/>
        <b/>
        <color theme="1"/>
      </rPr>
      <t xml:space="preserve">Techsec
</t>
    </r>
    <r>
      <rPr>
        <rFont val="Arial"/>
        <b/>
        <i/>
        <color theme="1"/>
        <sz val="8.0"/>
      </rPr>
      <t>Solo/Fireteam Ops</t>
    </r>
  </si>
  <si>
    <t>Wrecker</t>
  </si>
  <si>
    <t>200% kinetic damage to shields/overshields, 15% kinetic damage to constructs</t>
  </si>
  <si>
    <t>mostly useful for giving glaives 3x damage to shields</t>
  </si>
  <si>
    <r>
      <rPr>
        <rFont val="Arial"/>
        <b/>
        <color theme="1"/>
      </rPr>
      <t xml:space="preserve">Resonant Fury
</t>
    </r>
    <r>
      <rPr>
        <rFont val="Arial"/>
        <b/>
        <color theme="1"/>
        <sz val="8.0"/>
      </rPr>
      <t>Vow of the Disciple</t>
    </r>
  </si>
  <si>
    <t>Siphoning Touch</t>
  </si>
  <si>
    <t>weapon hits or glaive melee hits (5 stacks, mag-based), then switching weapons</t>
  </si>
  <si>
    <t>30 / 60 / 90 / 105 / 120 HP (based on stacks consumed)</t>
  </si>
  <si>
    <t>constant healing during swap rotations, weapons like Pack rockets and multi-hit swords benefit greatly</t>
  </si>
  <si>
    <r>
      <rPr>
        <rFont val="Arial"/>
        <b/>
        <color theme="1"/>
      </rPr>
      <t xml:space="preserve">Yearning Echo
</t>
    </r>
    <r>
      <rPr>
        <rFont val="Arial"/>
        <b/>
        <color theme="1"/>
        <sz val="8.0"/>
      </rPr>
      <t>Grasp of Avarice</t>
    </r>
  </si>
  <si>
    <t>Untold Greed</t>
  </si>
  <si>
    <t>ammo/orb/elemental pickup or Tangle destruction (100 stacks)</t>
  </si>
  <si>
    <t>~15-20% DR and ? reload, 10 stacks lost on critical health</t>
  </si>
  <si>
    <t>solid DR when available but 10 stacks lost on critical weighs heavily toward lower uptime</t>
  </si>
  <si>
    <r>
      <rPr>
        <rFont val="Arial"/>
        <b/>
        <color theme="1"/>
      </rPr>
      <t xml:space="preserve">Smoke Jumper
</t>
    </r>
    <r>
      <rPr>
        <rFont val="Arial"/>
        <b/>
        <i/>
        <color theme="1"/>
        <sz val="8.0"/>
      </rPr>
      <t>Solo/Fireteam Ops</t>
    </r>
  </si>
  <si>
    <t>Too Old for This</t>
  </si>
  <si>
    <t>elite+ finisher</t>
  </si>
  <si>
    <t>16% additional special progress and 32 HP</t>
  </si>
  <si>
    <t>low uptime and middling effect, but has one of the best 2pc. in the game</t>
  </si>
  <si>
    <r>
      <rPr>
        <rFont val="Arial"/>
        <b/>
        <color theme="1"/>
      </rPr>
      <t xml:space="preserve">AION Adapter
</t>
    </r>
    <r>
      <rPr>
        <rFont val="Arial"/>
        <b/>
        <i/>
        <color theme="1"/>
        <sz val="8.0"/>
      </rPr>
      <t>Kepler - Mythic</t>
    </r>
  </si>
  <si>
    <t>Reactive Shock</t>
  </si>
  <si>
    <t>being hit by melee after Force Absorption</t>
  </si>
  <si>
    <t>disorienting burst within ?m for 4.5s</t>
  </si>
  <si>
    <t>consistently refreshable defensive disorient source for melee range utility spam builds</t>
  </si>
  <si>
    <r>
      <rPr>
        <rFont val="Arial"/>
        <b/>
        <color theme="1"/>
      </rPr>
      <t xml:space="preserve">Iron Panoply
</t>
    </r>
    <r>
      <rPr>
        <rFont val="Arial"/>
        <b/>
        <i/>
        <color theme="1"/>
        <sz val="8.0"/>
      </rPr>
      <t>Iron Banner</t>
    </r>
  </si>
  <si>
    <t>Vigilant Watch</t>
  </si>
  <si>
    <t>shield health below ? HP up to ? HP
weapon kill at critical health, 5s ICD</t>
  </si>
  <si>
    <t>up to ? stability and ? handling
30 HP</t>
  </si>
  <si>
    <t>basically much worse version of Iaido, HP very underwhelming given conditions and ICD</t>
  </si>
  <si>
    <r>
      <rPr>
        <rFont val="Arial"/>
        <b/>
        <color theme="1"/>
      </rPr>
      <t xml:space="preserve">Techeun's Regalia
</t>
    </r>
    <r>
      <rPr>
        <rFont val="Arial"/>
        <b/>
        <color theme="1"/>
        <sz val="8.0"/>
      </rPr>
      <t>Shattered Throne</t>
    </r>
  </si>
  <si>
    <t>Queensfoil Rush</t>
  </si>
  <si>
    <t>finisher</t>
  </si>
  <si>
    <t>? HP overshield during, ?m slowing burst after</t>
  </si>
  <si>
    <t>finishers usually already pretty safe, Proximity Ward exists, but still helpful overall</t>
  </si>
  <si>
    <r>
      <rPr>
        <rFont val="Arial"/>
        <b/>
        <color theme="1"/>
      </rPr>
      <t xml:space="preserve">Luminopotent
</t>
    </r>
    <r>
      <rPr>
        <rFont val="Arial"/>
        <b/>
        <color theme="1"/>
        <sz val="8.0"/>
      </rPr>
      <t>Solo/Fireteam Ops</t>
    </r>
  </si>
  <si>
    <t>Shock and Clear</t>
  </si>
  <si>
    <t>jolt or jolted kills</t>
  </si>
  <si>
    <t>makes Ionic Trace (?s ICD)</t>
  </si>
  <si>
    <t>very good for ability spam, but held back by bad 2 pc.</t>
  </si>
  <si>
    <r>
      <rPr>
        <rFont val="Arial"/>
        <b/>
        <color theme="1"/>
      </rPr>
      <t xml:space="preserve">Reverie Dawn
</t>
    </r>
    <r>
      <rPr>
        <rFont val="Arial"/>
        <b/>
        <color theme="1"/>
        <sz val="8.0"/>
      </rPr>
      <t>Dreaming City</t>
    </r>
  </si>
  <si>
    <t>A Wish for Protection</t>
  </si>
  <si>
    <t>taking ~55 HP within ~4s?</t>
  </si>
  <si>
    <t>Amplified effect, ? reload and ?% flinch resistance for 7s (5s ICD after expiry)</t>
  </si>
  <si>
    <t>doesn't stack with other deaggro sources, probably not worth the 2pc. unless subclass has restricted access</t>
  </si>
  <si>
    <r>
      <rPr>
        <rFont val="Arial"/>
        <b/>
        <color theme="1"/>
      </rPr>
      <t xml:space="preserve">Deep Explorer
</t>
    </r>
    <r>
      <rPr>
        <rFont val="Arial"/>
        <b/>
        <color theme="1"/>
        <sz val="8.0"/>
      </rPr>
      <t>Duality</t>
    </r>
  </si>
  <si>
    <t>Bittersweet</t>
  </si>
  <si>
    <t>weapon stow</t>
  </si>
  <si>
    <t>? HP per stack</t>
  </si>
  <si>
    <t>held back by mediocre 2pc., pretty easy HP conversion though</t>
  </si>
  <si>
    <r>
      <rPr>
        <rFont val="Arial"/>
        <b/>
        <color theme="1"/>
      </rPr>
      <t xml:space="preserve">Thunderhead
</t>
    </r>
    <r>
      <rPr>
        <rFont val="Arial"/>
        <b/>
        <color theme="1"/>
        <sz val="8.0"/>
      </rPr>
      <t>Neomuna</t>
    </r>
  </si>
  <si>
    <t>License to Thrill</t>
  </si>
  <si>
    <t>grenade usage or Nanotech Tracer Missiles activation (? stacks)</t>
  </si>
  <si>
    <t>?% melee DR per stack for ?s</t>
  </si>
  <si>
    <t>would be really good with grapple melee if it was still relevant for boss damage</t>
  </si>
  <si>
    <r>
      <rPr>
        <rFont val="Arial"/>
        <b/>
        <color theme="1"/>
      </rPr>
      <t xml:space="preserve">TM Custom
</t>
    </r>
    <r>
      <rPr>
        <rFont val="Arial"/>
        <b/>
        <color theme="1"/>
        <sz val="8.0"/>
      </rPr>
      <t>Spire of the Watcher</t>
    </r>
  </si>
  <si>
    <t>Old Martian Diplomacy</t>
  </si>
  <si>
    <t>weapon stow within ?s of elite+ kill</t>
  </si>
  <si>
    <t>? HP and ?m disorient pulse</t>
  </si>
  <si>
    <t>elite requirement sucks but effect is pretty decent</t>
  </si>
  <si>
    <r>
      <rPr>
        <rFont val="Arial"/>
        <b/>
        <color theme="1"/>
      </rPr>
      <t xml:space="preserve">AION Renewal
</t>
    </r>
    <r>
      <rPr>
        <rFont val="Arial"/>
        <b/>
        <i/>
        <color theme="1"/>
        <sz val="8.0"/>
      </rPr>
      <t>Kepler</t>
    </r>
  </si>
  <si>
    <t>Reactive Booster</t>
  </si>
  <si>
    <t>sprinting while critical, suspended, slowed, or frozen after Force Converter</t>
  </si>
  <si>
    <t>Speed Booster</t>
  </si>
  <si>
    <t>15% DR essentially whenever critical if using a meta build, but strictly worse than Iron Conviction</t>
  </si>
  <si>
    <r>
      <rPr>
        <rFont val="Arial"/>
        <b/>
        <color theme="1"/>
      </rPr>
      <t xml:space="preserve">Resonant Fury
</t>
    </r>
    <r>
      <rPr>
        <rFont val="Arial"/>
        <b/>
        <color theme="1"/>
        <sz val="8.0"/>
      </rPr>
      <t>Vow of the Disciple</t>
    </r>
  </si>
  <si>
    <t>Resonant Plating</t>
  </si>
  <si>
    <t>taking miniboss+ melee damage</t>
  </si>
  <si>
    <t>starts health regen</t>
  </si>
  <si>
    <t>very niche trigger condition, maybe good for certain boss damage phases?</t>
  </si>
  <si>
    <r>
      <rPr>
        <rFont val="Arial"/>
        <b/>
        <color theme="1"/>
      </rPr>
      <t xml:space="preserve">Eutechnology
</t>
    </r>
    <r>
      <rPr>
        <rFont val="Arial"/>
        <b/>
        <color theme="1"/>
        <sz val="8.0"/>
      </rPr>
      <t>Arena/Pinnacle Ops</t>
    </r>
  </si>
  <si>
    <t>Gift of the Ley Lines</t>
  </si>
  <si>
    <t>? void kills within ?s</t>
  </si>
  <si>
    <t>Void Breach (?s ICD)</t>
  </si>
  <si>
    <t>would be a lot better if kill requirement was reduced</t>
  </si>
  <si>
    <r>
      <rPr>
        <rFont val="Arial"/>
        <b/>
        <color theme="1"/>
      </rPr>
      <t xml:space="preserve">Veritas
</t>
    </r>
    <r>
      <rPr>
        <rFont val="Arial"/>
        <b/>
        <color theme="1"/>
        <sz val="8.0"/>
      </rPr>
      <t>Throne World</t>
    </r>
  </si>
  <si>
    <t>Lucent Transmutation</t>
  </si>
  <si>
    <t>finisher or ? powered melee kills within ?s</t>
  </si>
  <si>
    <t>elemental pickup based on Light subclass</t>
  </si>
  <si>
    <t>quality varies depending on pickup type, other 2pc. bonuses are more productive from finisher</t>
  </si>
  <si>
    <r>
      <rPr>
        <rFont val="Arial"/>
        <b/>
        <color theme="1"/>
      </rPr>
      <t xml:space="preserve">AION Renewal
</t>
    </r>
    <r>
      <rPr>
        <rFont val="Arial"/>
        <b/>
        <i/>
        <color theme="1"/>
        <sz val="8.0"/>
      </rPr>
      <t>Kepler</t>
    </r>
  </si>
  <si>
    <t>Force Converter</t>
  </si>
  <si>
    <t>sprinting after micro-missile, rocket, or GL kill</t>
  </si>
  <si>
    <t>Speed Booster after sprinting for 2.5s</t>
  </si>
  <si>
    <t>15% DR from Speed Booster only in escape situations rather than universally</t>
  </si>
  <si>
    <r>
      <rPr>
        <rFont val="Arial"/>
        <b/>
        <color theme="1"/>
      </rPr>
      <t xml:space="preserve">Exodus Down
</t>
    </r>
    <r>
      <rPr>
        <rFont val="Arial"/>
        <b/>
        <color theme="1"/>
        <sz val="8.0"/>
      </rPr>
      <t>Nessus</t>
    </r>
  </si>
  <si>
    <t>Emergency Electromagnet</t>
  </si>
  <si>
    <t>collects nearby orbs and ammo within ?m</t>
  </si>
  <si>
    <t>decent effect due to orb and ammo pickup synergies (Twofold Crown 2pc.), but not that efficient</t>
  </si>
  <si>
    <r>
      <rPr>
        <rFont val="Arial"/>
        <b/>
        <color theme="1"/>
      </rPr>
      <t xml:space="preserve">Bushido
</t>
    </r>
    <r>
      <rPr>
        <rFont val="Arial"/>
        <b/>
        <i/>
        <color theme="1"/>
        <sz val="8.0"/>
      </rPr>
      <t>Pinnacle Ops</t>
    </r>
  </si>
  <si>
    <t>Unfaltering Focus</t>
  </si>
  <si>
    <t>bow, shotgun, or sword kill</t>
  </si>
  <si>
    <t>10% DR for 7s, 2s extensions on trigger-matching damage up to 10s</t>
  </si>
  <si>
    <t>low but easy upkeep sustained DR, too low to be useful and overshadowed by stronger 2pcs.</t>
  </si>
  <si>
    <r>
      <rPr>
        <rFont val="Arial"/>
        <b/>
        <color theme="1"/>
      </rPr>
      <t xml:space="preserve">Lustrous
</t>
    </r>
    <r>
      <rPr>
        <rFont val="Arial"/>
        <b/>
        <i/>
        <color theme="1"/>
        <sz val="8.0"/>
      </rPr>
      <t>Solstice</t>
    </r>
  </si>
  <si>
    <t>Cauterize</t>
  </si>
  <si>
    <t>3 solar kills with 3?s between</t>
  </si>
  <si>
    <t>less consistent than Unfaltering Focus and HP is extremely disproportionately low</t>
  </si>
  <si>
    <r>
      <rPr>
        <rFont val="Arial"/>
        <b/>
        <color theme="1"/>
      </rPr>
      <t xml:space="preserve">Dreambane
</t>
    </r>
    <r>
      <rPr>
        <rFont val="Arial"/>
        <b/>
        <color theme="1"/>
        <sz val="8.0"/>
      </rPr>
      <t>Moon</t>
    </r>
  </si>
  <si>
    <t>Nightmarish Resilience</t>
  </si>
  <si>
    <t>? weapon damage within ?s or kill with Unstable Essence</t>
  </si>
  <si>
    <t>? HP and begins health regen</t>
  </si>
  <si>
    <t>effect is good but 2pc. requirement needs miniboss+</t>
  </si>
  <si>
    <r>
      <rPr>
        <rFont val="Arial"/>
        <b/>
        <color theme="1"/>
      </rPr>
      <t xml:space="preserve">Last Discipline
</t>
    </r>
    <r>
      <rPr>
        <rFont val="Arial"/>
        <b/>
        <i/>
        <color theme="1"/>
        <sz val="8.0"/>
      </rPr>
      <t>Crucible</t>
    </r>
  </si>
  <si>
    <t>Power Loader</t>
  </si>
  <si>
    <t>6.25% special progress</t>
  </si>
  <si>
    <t>theoretically can produce special ammo during damage, but not enough to be useful and neutral benefit is not that important</t>
  </si>
  <si>
    <r>
      <rPr>
        <rFont val="Arial"/>
        <b/>
        <color theme="1"/>
      </rPr>
      <t xml:space="preserve">Uncaged Deviants
</t>
    </r>
    <r>
      <rPr>
        <rFont val="Arial"/>
        <b/>
        <i/>
        <color theme="1"/>
        <sz val="8.0"/>
      </rPr>
      <t>Desert Perpetual - Epic</t>
    </r>
  </si>
  <si>
    <t>super damage then movement</t>
  </si>
  <si>
    <t>30 HP/s for 10s, refreshable</t>
  </si>
  <si>
    <t>healing worse than Restoration x1 but stacks with other sources, not really worth 4pc. in most cases</t>
  </si>
  <si>
    <r>
      <rPr>
        <rFont val="Arial"/>
        <b/>
        <color theme="1"/>
      </rPr>
      <t xml:space="preserve">Atheon's Memory
</t>
    </r>
    <r>
      <rPr>
        <rFont val="Arial"/>
        <b/>
        <color theme="1"/>
        <sz val="8.0"/>
      </rPr>
      <t>Vault of Glass</t>
    </r>
  </si>
  <si>
    <t>Radiolaria Breach</t>
  </si>
  <si>
    <t>stats
splash</t>
  </si>
  <si>
    <t>orb pickup, then critical health</t>
  </si>
  <si>
    <t>? Health for 7s, drops 4 radiolaria pools around player in a clover pattern, ~5m radius</t>
  </si>
  <si>
    <t>very easy to trigger consistently, but pools are low damage and are not really a strong defensive option</t>
  </si>
  <si>
    <r>
      <rPr>
        <rFont val="Arial"/>
        <b/>
        <color theme="1"/>
      </rPr>
      <t xml:space="preserve">Reverie Dawn
</t>
    </r>
    <r>
      <rPr>
        <rFont val="Arial"/>
        <b/>
        <color theme="1"/>
        <sz val="8.0"/>
      </rPr>
      <t>Dreaming City</t>
    </r>
  </si>
  <si>
    <t>A Wish Fulfilled</t>
  </si>
  <si>
    <t>deaggro effect ending (any kill ends early)</t>
  </si>
  <si>
    <t>Cure x1</t>
  </si>
  <si>
    <t>Cure is very weak payoff for 4pc., also has ICD issues</t>
  </si>
  <si>
    <r>
      <rPr>
        <rFont val="Arial"/>
        <b/>
        <color theme="1"/>
      </rPr>
      <t xml:space="preserve">Thunderhead
</t>
    </r>
    <r>
      <rPr>
        <rFont val="Arial"/>
        <b/>
        <color theme="1"/>
        <sz val="8.0"/>
      </rPr>
      <t>Neomuna</t>
    </r>
  </si>
  <si>
    <t>Lethal Weave</t>
  </si>
  <si>
    <t>ability
ammo</t>
  </si>
  <si>
    <t>unraveled kill</t>
  </si>
  <si>
    <t>?% grenade energy, ?% special ammo progress if grenade full</t>
  </si>
  <si>
    <t>effect definitely doesn't scale into being as useful as 2pc.</t>
  </si>
  <si>
    <r>
      <rPr>
        <rFont val="Arial"/>
        <b/>
        <color theme="1"/>
      </rPr>
      <t xml:space="preserve">Eutechnology
</t>
    </r>
    <r>
      <rPr>
        <rFont val="Arial"/>
        <b/>
        <color theme="1"/>
        <sz val="8.0"/>
      </rPr>
      <t>Arena/Pinnacle Ops</t>
    </r>
  </si>
  <si>
    <t>Techeun's Foresight</t>
  </si>
  <si>
    <t>kill after Void Breach pickup</t>
  </si>
  <si>
    <t>~3m / 87 damage (+0) void explosion (increased to ~7m / 173 damage if within 7s of pickup)</t>
  </si>
  <si>
    <t>very underwhelming explosion given Void Breach cooldown, any competent void build will create more powerful splash</t>
  </si>
  <si>
    <r>
      <rPr>
        <rFont val="Arial"/>
        <b/>
        <color theme="1"/>
      </rPr>
      <t xml:space="preserve">Pantheos Resplendent
</t>
    </r>
    <r>
      <rPr>
        <rFont val="Arial"/>
        <b/>
        <color theme="1"/>
        <sz val="8.0"/>
      </rPr>
      <t>Pantheon</t>
    </r>
  </si>
  <si>
    <t>Down the Line</t>
  </si>
  <si>
    <t>damaging miniboss+ enemies (10 stacks, 1s ICD, any damage)</t>
  </si>
  <si>
    <t>15% damage to minor/elites, stack removed on kill</t>
  </si>
  <si>
    <t>at most going to get 15% more add clear damage after doing boss DPS with this on, struggle to find application</t>
  </si>
  <si>
    <r>
      <rPr>
        <rFont val="Arial"/>
        <b/>
        <color theme="1"/>
      </rPr>
      <t xml:space="preserve">Veritas
</t>
    </r>
    <r>
      <rPr>
        <rFont val="Arial"/>
        <b/>
        <color theme="1"/>
        <sz val="8.0"/>
      </rPr>
      <t>Throne World</t>
    </r>
  </si>
  <si>
    <t>Lucent Tithes</t>
  </si>
  <si>
    <t>? HP and ? Void moths</t>
  </si>
  <si>
    <t>finisher enemy requirement too strict, other set bonuses more productive with any finisher</t>
  </si>
  <si>
    <r>
      <rPr>
        <rFont val="Arial"/>
        <b/>
        <color theme="1"/>
      </rPr>
      <t xml:space="preserve">Cyberserpent Null
</t>
    </r>
    <r>
      <rPr>
        <rFont val="Arial"/>
        <b/>
        <color theme="1"/>
        <sz val="8.0"/>
      </rPr>
      <t>Gambit</t>
    </r>
  </si>
  <si>
    <t>Bountiful Munitions</t>
  </si>
  <si>
    <t>kills with Adrenal Rush active</t>
  </si>
  <si>
    <t>?% special ammo progress, increased to ?% against elite+ and Taken</t>
  </si>
  <si>
    <t>bad 2pc. but increased ammo progress is pretty easy to consistently trigger</t>
  </si>
  <si>
    <r>
      <rPr>
        <rFont val="Arial"/>
        <b/>
        <color theme="1"/>
      </rPr>
      <t xml:space="preserve">Crystocrene
</t>
    </r>
    <r>
      <rPr>
        <rFont val="Arial"/>
        <b/>
        <color theme="1"/>
        <sz val="8.0"/>
      </rPr>
      <t>Europa</t>
    </r>
  </si>
  <si>
    <t>Resupply</t>
  </si>
  <si>
    <t>ammo
ability</t>
  </si>
  <si>
    <t>kill after being out of combat for 12s</t>
  </si>
  <si>
    <t>?% ammo progress and Orb Of Power</t>
  </si>
  <si>
    <t>out-of-combat period is way too long to be useful, instant orb could be useful for 1 kill orb in some situations</t>
  </si>
  <si>
    <r>
      <rPr>
        <rFont val="Arial"/>
        <b/>
        <color theme="1"/>
      </rPr>
      <t xml:space="preserve">Spacewalk
</t>
    </r>
    <r>
      <rPr>
        <rFont val="Arial"/>
        <b/>
        <color theme="1"/>
        <sz val="8.0"/>
      </rPr>
      <t>Vesper's Host</t>
    </r>
  </si>
  <si>
    <t>Augmented Armaments</t>
  </si>
  <si>
    <t>disoriented combatant</t>
  </si>
  <si>
    <t>?% primary damage</t>
  </si>
  <si>
    <t>would be a lot more useful if not limited to primaries</t>
  </si>
  <si>
    <r>
      <rPr>
        <rFont val="Arial"/>
        <b/>
        <color theme="1"/>
      </rPr>
      <t xml:space="preserve">First Ascent
</t>
    </r>
    <r>
      <rPr>
        <rFont val="Arial"/>
        <b/>
        <color theme="1"/>
        <sz val="8.0"/>
      </rPr>
      <t>Pale Heart</t>
    </r>
  </si>
  <si>
    <t>Stack 'Em Up</t>
  </si>
  <si>
    <t>kills of different elements</t>
  </si>
  <si>
    <t>?% Transcendence gains per stack</t>
  </si>
  <si>
    <t>not that useful of a benefit, especially given requirement</t>
  </si>
  <si>
    <r>
      <rPr>
        <rFont val="Arial"/>
        <b/>
        <color theme="1"/>
      </rPr>
      <t xml:space="preserve">Triumphal Anthem
</t>
    </r>
    <r>
      <rPr>
        <rFont val="Arial"/>
        <b/>
        <color theme="1"/>
        <sz val="8.0"/>
      </rPr>
      <t>Crucible</t>
    </r>
  </si>
  <si>
    <t>Scoot to Loot</t>
  </si>
  <si>
    <t>sliding</t>
  </si>
  <si>
    <t>picks up ammo within ?m and gives ? reload and ? handling for ?s</t>
  </si>
  <si>
    <t>some utility for ammo vacuum loadouts, but never worth it for regular neutral</t>
  </si>
  <si>
    <r>
      <rPr>
        <rFont val="Arial"/>
        <b/>
        <color theme="1"/>
      </rPr>
      <t xml:space="preserve">Crystocrene
</t>
    </r>
    <r>
      <rPr>
        <rFont val="Arial"/>
        <b/>
        <color theme="1"/>
        <sz val="8.0"/>
      </rPr>
      <t>Europa</t>
    </r>
  </si>
  <si>
    <t>From the Storm</t>
  </si>
  <si>
    <t>being out of combat for 12s</t>
  </si>
  <si>
    <t>Frost Armor buildup until reentering combat</t>
  </si>
  <si>
    <t>out-of-combat period is way too long to be useful</t>
  </si>
  <si>
    <r>
      <rPr>
        <rFont val="Arial"/>
        <b/>
        <color theme="1"/>
      </rPr>
      <t xml:space="preserve">Spacewalk
</t>
    </r>
    <r>
      <rPr>
        <rFont val="Arial"/>
        <b/>
        <color theme="1"/>
        <sz val="8.0"/>
      </rPr>
      <t>Vesper's Host</t>
    </r>
  </si>
  <si>
    <t>Augmented Explosives</t>
  </si>
  <si>
    <t>grenade usage</t>
  </si>
  <si>
    <t>?m disorienting pulse before detonation</t>
  </si>
  <si>
    <t>suffers from bad 2pc. and effect isn't that strong compared to other disorients available</t>
  </si>
  <si>
    <r>
      <rPr>
        <rFont val="Arial"/>
        <b/>
        <color theme="1"/>
      </rPr>
      <t xml:space="preserve">Flain
</t>
    </r>
    <r>
      <rPr>
        <rFont val="Arial"/>
        <b/>
        <color theme="1"/>
        <sz val="8.0"/>
      </rPr>
      <t>Sundered Doctrine</t>
    </r>
  </si>
  <si>
    <t>Sinew Stitching</t>
  </si>
  <si>
    <t>? damage taken</t>
  </si>
  <si>
    <t>entirely passive but still very weak effect for set bonus investment</t>
  </si>
  <si>
    <r>
      <rPr>
        <rFont val="Arial"/>
        <b/>
        <color theme="1"/>
      </rPr>
      <t xml:space="preserve">Legacy's Oath
</t>
    </r>
    <r>
      <rPr>
        <rFont val="Arial"/>
        <b/>
        <color theme="1"/>
        <sz val="8.0"/>
      </rPr>
      <t>Deep Stone Crypt</t>
    </r>
  </si>
  <si>
    <t>God-like Judgment</t>
  </si>
  <si>
    <t>critical health or super cast</t>
  </si>
  <si>
    <t>570 damage (+0) heat-seeking missile array</t>
  </si>
  <si>
    <t>missiles do very little damage and do not stagger enemies</t>
  </si>
  <si>
    <r>
      <rPr>
        <rFont val="Arial"/>
        <b/>
        <color theme="1"/>
      </rPr>
      <t xml:space="preserve">Flain
</t>
    </r>
    <r>
      <rPr>
        <rFont val="Arial"/>
        <b/>
        <color theme="1"/>
        <sz val="8.0"/>
      </rPr>
      <t>Sundered Doctrine</t>
    </r>
  </si>
  <si>
    <t>Knit Together</t>
  </si>
  <si>
    <t>Threadling hit within ?s of reaching critical health</t>
  </si>
  <si>
    <t>? HP per hit</t>
  </si>
  <si>
    <t>Threadling moves too slow to be a responsive healing effect when needed</t>
  </si>
  <si>
    <r>
      <rPr>
        <rFont val="Arial"/>
        <b/>
        <color theme="1"/>
      </rPr>
      <t xml:space="preserve">First Ascent
</t>
    </r>
    <r>
      <rPr>
        <rFont val="Arial"/>
        <b/>
        <color theme="1"/>
        <sz val="8.0"/>
      </rPr>
      <t>Pale Heart</t>
    </r>
  </si>
  <si>
    <t>Burn 'Em Down</t>
  </si>
  <si>
    <t>using grenade during Transcendence</t>
  </si>
  <si>
    <t>?% grenade energy per stack</t>
  </si>
  <si>
    <t>grenade refund for Transcendence grenades is basically useless</t>
  </si>
  <si>
    <r>
      <rPr>
        <rFont val="Arial"/>
        <b/>
        <color theme="1"/>
      </rPr>
      <t xml:space="preserve">Taken King
</t>
    </r>
    <r>
      <rPr>
        <rFont val="Arial"/>
        <b/>
        <color theme="1"/>
        <sz val="8.0"/>
      </rPr>
      <t>Ghosts of the Deep</t>
    </r>
  </si>
  <si>
    <t>Lucent Swarm</t>
  </si>
  <si>
    <t>orb pickup
? ability kills</t>
  </si>
  <si>
    <t>extends Ceremony by ?s
spawns Arc moth</t>
  </si>
  <si>
    <t>restrictive conditions for relatively weak splash effect</t>
  </si>
  <si>
    <r>
      <rPr>
        <rFont val="Arial"/>
        <b/>
        <color theme="1"/>
      </rPr>
      <t xml:space="preserve">Kentarch 3
</t>
    </r>
    <r>
      <rPr>
        <rFont val="Arial"/>
        <b/>
        <color theme="1"/>
        <sz val="8.0"/>
      </rPr>
      <t>Garden of Salvation</t>
    </r>
  </si>
  <si>
    <t>Network Upload</t>
  </si>
  <si>
    <t>weapon kills</t>
  </si>
  <si>
    <t>?% melee energy to allies within ?m</t>
  </si>
  <si>
    <t>technically positive but requires bad 2pc. and not really that helpful overall</t>
  </si>
  <si>
    <r>
      <rPr>
        <rFont val="Arial"/>
        <b/>
        <color theme="1"/>
      </rPr>
      <t xml:space="preserve">CODA
</t>
    </r>
    <r>
      <rPr>
        <rFont val="Arial"/>
        <b/>
        <color theme="1"/>
        <sz val="8.0"/>
      </rPr>
      <t>Prophecy</t>
    </r>
  </si>
  <si>
    <t>Between Poles</t>
  </si>
  <si>
    <t>Light weapon kills (? stacks)
Dark or kinetic weapon kills (? stacks)</t>
  </si>
  <si>
    <t>? Grenade for ?s
? Melee for ?s</t>
  </si>
  <si>
    <t>useful stats and easy to activate, but not really worth building into</t>
  </si>
  <si>
    <r>
      <rPr>
        <rFont val="Arial"/>
        <b/>
        <color theme="1"/>
      </rPr>
      <t xml:space="preserve">Dreambane
</t>
    </r>
    <r>
      <rPr>
        <rFont val="Arial"/>
        <b/>
        <color theme="1"/>
        <sz val="8.0"/>
      </rPr>
      <t>Moon</t>
    </r>
  </si>
  <si>
    <t>Nightmarish Power</t>
  </si>
  <si>
    <t>miniboss+ kill</t>
  </si>
  <si>
    <t>? Grenade and ? Melee for ?s</t>
  </si>
  <si>
    <t>requirement sucks for stat gain</t>
  </si>
  <si>
    <r>
      <rPr>
        <rFont val="Arial"/>
        <b/>
        <color theme="1"/>
      </rPr>
      <t xml:space="preserve">Seventh Seraph
</t>
    </r>
    <r>
      <rPr>
        <rFont val="Arial"/>
        <b/>
        <color theme="1"/>
        <sz val="8.0"/>
      </rPr>
      <t>Cosmodrome</t>
    </r>
  </si>
  <si>
    <t>Rasputin's Wrath</t>
  </si>
  <si>
    <t>AoE, solar ability, Seventh Seraph, or IKELOS kills (? stacks)</t>
  </si>
  <si>
    <t>? Weapons and ? Grenade per stack for ?s</t>
  </si>
  <si>
    <t>easy to stack but only benefit is stat boosts</t>
  </si>
  <si>
    <r>
      <rPr>
        <rFont val="Arial"/>
        <b/>
        <color theme="1"/>
      </rPr>
      <t xml:space="preserve">Kentarch 3
</t>
    </r>
    <r>
      <rPr>
        <rFont val="Arial"/>
        <b/>
        <color theme="1"/>
        <sz val="8.0"/>
      </rPr>
      <t>Garden of Salvation</t>
    </r>
  </si>
  <si>
    <t>Network Admin</t>
  </si>
  <si>
    <t>being within ?m of ? allies
being within ?m of ? Network Admins</t>
  </si>
  <si>
    <t>? handling and ? reload
? Health</t>
  </si>
  <si>
    <t>neutral stat boosts basically for free, effect not that strong</t>
  </si>
  <si>
    <r>
      <rPr>
        <rFont val="Arial"/>
        <b/>
        <color theme="1"/>
      </rPr>
      <t xml:space="preserve">Deep Explorer
</t>
    </r>
    <r>
      <rPr>
        <rFont val="Arial"/>
        <b/>
        <color theme="1"/>
        <sz val="8.0"/>
      </rPr>
      <t>Duality</t>
    </r>
  </si>
  <si>
    <t>Built Bitter</t>
  </si>
  <si>
    <t>damage taken (? stacks)</t>
  </si>
  <si>
    <t>? reload per stack until stowed</t>
  </si>
  <si>
    <t>essentially Bitterspite but in armor form, only gives reload so not that interesting</t>
  </si>
  <si>
    <r>
      <rPr>
        <rFont val="Arial"/>
        <b/>
        <color theme="1"/>
      </rPr>
      <t xml:space="preserve">Dark Age
</t>
    </r>
    <r>
      <rPr>
        <rFont val="Arial"/>
        <b/>
        <color theme="1"/>
        <sz val="8.0"/>
      </rPr>
      <t>Warlord's Ruin</t>
    </r>
  </si>
  <si>
    <t>Taking Initiative</t>
  </si>
  <si>
    <t>melee or sword hit (5 stacks, 8s each, decay one by one)</t>
  </si>
  <si>
    <t>? handling and ? reload for 8s</t>
  </si>
  <si>
    <t>helpful stats but requires specific playstyle and no strong effects</t>
  </si>
  <si>
    <r>
      <rPr>
        <rFont val="Arial"/>
        <b/>
        <color theme="1"/>
      </rPr>
      <t xml:space="preserve">Circuit
</t>
    </r>
    <r>
      <rPr>
        <rFont val="Arial"/>
        <b/>
        <color theme="1"/>
        <sz val="8.0"/>
      </rPr>
      <t>Sparrow Racing League</t>
    </r>
  </si>
  <si>
    <t>Dielectric Drift</t>
  </si>
  <si>
    <t>sliding with Speed Booster</t>
  </si>
  <si>
    <t>jolts enemies in front</t>
  </si>
  <si>
    <t>unique effect but rarely ever useful</t>
  </si>
  <si>
    <r>
      <rPr>
        <rFont val="Arial"/>
        <b/>
        <color theme="1"/>
      </rPr>
      <t xml:space="preserve">Taken King
</t>
    </r>
    <r>
      <rPr>
        <rFont val="Arial"/>
        <b/>
        <color theme="1"/>
        <sz val="8.0"/>
      </rPr>
      <t>Ghosts of the Deep</t>
    </r>
  </si>
  <si>
    <t>The Ceremony</t>
  </si>
  <si>
    <t>finisher or ally revive</t>
  </si>
  <si>
    <t>? Super for ?s</t>
  </si>
  <si>
    <t>single stat without 100% uptime, very limited effect</t>
  </si>
  <si>
    <r>
      <rPr>
        <rFont val="Arial"/>
        <b/>
        <color theme="1"/>
      </rPr>
      <t xml:space="preserve">Lustrous
</t>
    </r>
    <r>
      <rPr>
        <rFont val="Arial"/>
        <b/>
        <i/>
        <color theme="1"/>
        <sz val="8.0"/>
      </rPr>
      <t>Solstice</t>
    </r>
  </si>
  <si>
    <t>Photogalvanic</t>
  </si>
  <si>
    <t>receiving healing without full HP</t>
  </si>
  <si>
    <t>20? handling, 10 reload, 0.85x reload duration, ?% flinch resist for solar weapons for 4s</t>
  </si>
  <si>
    <t>good stat boost for solar weapons</t>
  </si>
  <si>
    <r>
      <rPr>
        <rFont val="Arial"/>
        <b/>
        <color theme="1"/>
      </rPr>
      <t xml:space="preserve">Luminopotent
</t>
    </r>
    <r>
      <rPr>
        <rFont val="Arial"/>
        <b/>
        <color theme="1"/>
        <sz val="8.0"/>
      </rPr>
      <t>Solo/Fireteam Ops</t>
    </r>
  </si>
  <si>
    <t>Ionic Overclock</t>
  </si>
  <si>
    <t>Amplified</t>
  </si>
  <si>
    <t>? handling, ? reload, and ? vent speed for fusions, LFRs, and heat weapons</t>
  </si>
  <si>
    <t>very similar to Photogalvanic, only really a stat boost for certain weapons</t>
  </si>
  <si>
    <r>
      <rPr>
        <rFont val="Arial"/>
        <b/>
        <color theme="1"/>
      </rPr>
      <t xml:space="preserve">Wild Anthem
</t>
    </r>
    <r>
      <rPr>
        <rFont val="Arial"/>
        <b/>
        <i/>
        <color theme="1"/>
        <sz val="8.0"/>
      </rPr>
      <t>Crucible</t>
    </r>
  </si>
  <si>
    <t>Fanfare</t>
  </si>
  <si>
    <t>&lt;50% of magazine, non-empty magazine</t>
  </si>
  <si>
    <t>15 reload and 0.95x reload duration</t>
  </si>
  <si>
    <t>essentially Terminal Velocity but different requirement and more weapons allowed</t>
  </si>
  <si>
    <r>
      <rPr>
        <rFont val="Arial"/>
        <b/>
        <color theme="1"/>
      </rPr>
      <t xml:space="preserve">Last Discipline
</t>
    </r>
    <r>
      <rPr>
        <rFont val="Arial"/>
        <b/>
        <i/>
        <color theme="1"/>
        <sz val="8.0"/>
      </rPr>
      <t>Crucible</t>
    </r>
  </si>
  <si>
    <t>Terminal Velocity</t>
  </si>
  <si>
    <t>primary kill</t>
  </si>
  <si>
    <t>20 reload and 0.95x reload duration for primaries for 6s</t>
  </si>
  <si>
    <t>decent stat boost for primaries</t>
  </si>
  <si>
    <r>
      <rPr>
        <rFont val="Arial"/>
        <b/>
        <color theme="1"/>
      </rPr>
      <t xml:space="preserve">Cyberserpent Null
</t>
    </r>
    <r>
      <rPr>
        <rFont val="Arial"/>
        <b/>
        <color theme="1"/>
        <sz val="8.0"/>
      </rPr>
      <t>Gambit</t>
    </r>
  </si>
  <si>
    <t>Adrenal Rush</t>
  </si>
  <si>
    <t>sprinting for ?s</t>
  </si>
  <si>
    <t>? reload and ? handling for ?s, ?s extension on kill</t>
  </si>
  <si>
    <t>sprint requirement instead of passive, decent stats though</t>
  </si>
  <si>
    <r>
      <rPr>
        <rFont val="Arial"/>
        <b/>
        <color rgb="FF181A1B"/>
      </rPr>
      <t xml:space="preserve">Thriving Survivor
</t>
    </r>
    <r>
      <rPr>
        <rFont val="Arial"/>
        <b/>
        <i/>
        <color rgb="FF181A1B"/>
        <sz val="8.0"/>
      </rPr>
      <t>Lawless Frontier</t>
    </r>
  </si>
  <si>
    <t>Room Clearing</t>
  </si>
  <si>
    <t>stats
ammo</t>
  </si>
  <si>
    <t>3 heat or primary weapon kills with 4s between</t>
  </si>
  <si>
    <t>40 grenade, 40 weapon, ? ammo gen for heat/primary weapons for 10s</t>
  </si>
  <si>
    <t>stat boost is nice but sacrifices too much and requirement sucks</t>
  </si>
  <si>
    <r>
      <rPr>
        <rFont val="Arial"/>
        <b/>
        <color theme="1"/>
      </rPr>
      <t xml:space="preserve">Collective Psyche
</t>
    </r>
    <r>
      <rPr>
        <rFont val="Arial"/>
        <b/>
        <i/>
        <color theme="1"/>
        <sz val="8.0"/>
      </rPr>
      <t>Desert Perpetual</t>
    </r>
  </si>
  <si>
    <t>Accretion</t>
  </si>
  <si>
    <t>ammo brick pickup (20 stacks: special 1, heavy 3)</t>
  </si>
  <si>
    <t>0.0125?x ready/stow duration per stack, up to 0.75x</t>
  </si>
  <si>
    <t>strong ready/stow scalar, but very situational and probably overshadowed by other DPS 2pc. options in the future</t>
  </si>
  <si>
    <r>
      <rPr>
        <rFont val="Arial"/>
        <b/>
        <color theme="1"/>
      </rPr>
      <t xml:space="preserve">Cruel Electrum
</t>
    </r>
    <r>
      <rPr>
        <rFont val="Arial"/>
        <b/>
        <color theme="1"/>
        <sz val="8.0"/>
      </rPr>
      <t>Trials of Osiris</t>
    </r>
  </si>
  <si>
    <t>Primary Survivor</t>
  </si>
  <si>
    <t>ally death or solo</t>
  </si>
  <si>
    <t>? handling, ? reload, ? aim assist, ?% reduced flinch</t>
  </si>
  <si>
    <t>helpful stats but requires solo play or ally deaths</t>
  </si>
  <si>
    <r>
      <rPr>
        <rFont val="Arial"/>
        <b/>
        <color theme="1"/>
      </rPr>
      <t xml:space="preserve">Thriving Survivor
</t>
    </r>
    <r>
      <rPr>
        <rFont val="Arial"/>
        <b/>
        <i/>
        <color theme="1"/>
        <sz val="8.0"/>
      </rPr>
      <t>Lawless Frontier</t>
    </r>
  </si>
  <si>
    <t>Opening Act</t>
  </si>
  <si>
    <t>? stability and ? vent/reload speed to heat/primary weapons for 15s</t>
  </si>
  <si>
    <t>basically just reload for getting a grenade kill</t>
  </si>
  <si>
    <r>
      <rPr>
        <rFont val="Arial"/>
        <b/>
        <color theme="1"/>
      </rPr>
      <t xml:space="preserve">Uncaged Deviants
</t>
    </r>
    <r>
      <rPr>
        <rFont val="Arial"/>
        <b/>
        <i/>
        <color theme="1"/>
        <sz val="8.0"/>
      </rPr>
      <t>Desert Perpetual - Epic</t>
    </r>
  </si>
  <si>
    <t>Special Relativity</t>
  </si>
  <si>
    <t>refills stowed specials</t>
  </si>
  <si>
    <t>Shoot to Loot does this</t>
  </si>
  <si>
    <r>
      <rPr>
        <rFont val="Arial"/>
        <b/>
        <color rgb="FF181A1B"/>
      </rPr>
      <t xml:space="preserve">Shrewd Survivor
</t>
    </r>
    <r>
      <rPr>
        <rFont val="Arial"/>
        <b/>
        <i/>
        <color rgb="FF181A1B"/>
        <sz val="8.0"/>
      </rPr>
      <t>Lawless Frontier</t>
    </r>
  </si>
  <si>
    <t>Hotshot</t>
  </si>
  <si>
    <t>kill with Reflex Action active</t>
  </si>
  <si>
    <t>15? stability, 20 reload, ? aim assist for Reflex Action weapons, 30 weapons for 10s</t>
  </si>
  <si>
    <t>essentially 30 weapons for heat/SMG/HC kill while giving up everything else</t>
  </si>
  <si>
    <r>
      <rPr>
        <rFont val="Arial"/>
        <b/>
        <color theme="1"/>
      </rPr>
      <t xml:space="preserve">Per Audacia
</t>
    </r>
    <r>
      <rPr>
        <rFont val="Arial"/>
        <b/>
        <color theme="1"/>
        <sz val="8.0"/>
      </rPr>
      <t>Crucible</t>
    </r>
  </si>
  <si>
    <t>Sublime Transit</t>
  </si>
  <si>
    <t>? mobility, ?% sprint speed, ?% slide distance</t>
  </si>
  <si>
    <r>
      <rPr>
        <rFont val="Arial"/>
        <color rgb="FF181A1B"/>
      </rPr>
      <t xml:space="preserve">might find use in speedrunning, </t>
    </r>
    <r>
      <rPr>
        <rFont val="Arial"/>
        <b/>
        <color rgb="FF181A1B"/>
      </rPr>
      <t>CURRENTLY BUGGED</t>
    </r>
  </si>
  <si>
    <r>
      <rPr>
        <rFont val="Arial"/>
        <b/>
        <color theme="1"/>
      </rPr>
      <t xml:space="preserve">Shrewd Survivor
</t>
    </r>
    <r>
      <rPr>
        <rFont val="Arial"/>
        <b/>
        <i/>
        <color theme="1"/>
        <sz val="8.0"/>
      </rPr>
      <t>Lawless Frontier</t>
    </r>
  </si>
  <si>
    <t>Reflex Action</t>
  </si>
  <si>
    <t>readying heat weapon, SMG, or hand cannon</t>
  </si>
  <si>
    <t>50 handling, 0.6x ready, -2.5% accuracy cone for 1.5s, extends on damage</t>
  </si>
  <si>
    <t>mostly PvP stats</t>
  </si>
  <si>
    <r>
      <rPr>
        <rFont val="Arial"/>
        <b/>
        <color theme="1"/>
      </rPr>
      <t xml:space="preserve">Per Audacia
</t>
    </r>
    <r>
      <rPr>
        <rFont val="Arial"/>
        <b/>
        <color theme="1"/>
        <sz val="8.0"/>
      </rPr>
      <t>Crucible</t>
    </r>
  </si>
  <si>
    <t>Primary Chain</t>
  </si>
  <si>
    <t>primary kill (? stacks)</t>
  </si>
  <si>
    <t>? mobility, ? range, ? handling for primaries until death</t>
  </si>
  <si>
    <r>
      <rPr>
        <rFont val="Arial"/>
        <b/>
        <color theme="1"/>
      </rPr>
      <t xml:space="preserve">Prodigious Allegiance
</t>
    </r>
    <r>
      <rPr>
        <rFont val="Arial"/>
        <b/>
        <i/>
        <color theme="1"/>
        <sz val="8.0"/>
      </rPr>
      <t>Crucible</t>
    </r>
  </si>
  <si>
    <t>Magnificent Duty</t>
  </si>
  <si>
    <t>critical health or healing critical ally</t>
  </si>
  <si>
    <t>? range, ? stability, ? reload for auto rifles, scout rifles, and sidearms for 11s</t>
  </si>
  <si>
    <r>
      <rPr>
        <rFont val="Arial"/>
        <b/>
        <color rgb="FF181A1B"/>
      </rPr>
      <t xml:space="preserve">Wild Anthem
</t>
    </r>
    <r>
      <rPr>
        <rFont val="Arial"/>
        <b/>
        <i/>
        <color rgb="FF181A1B"/>
        <sz val="8.0"/>
      </rPr>
      <t>Crucible</t>
    </r>
  </si>
  <si>
    <t>SUROS Harmony</t>
  </si>
  <si>
    <t>reloading</t>
  </si>
  <si>
    <t>? handling and ?% flinch resist for 6s, SUROS Synergy weapons get 15 range</t>
  </si>
  <si>
    <r>
      <rPr>
        <rFont val="Arial"/>
        <b/>
        <color theme="1"/>
      </rPr>
      <t xml:space="preserve">Twofold Crown
</t>
    </r>
    <r>
      <rPr>
        <rFont val="Arial"/>
        <b/>
        <i/>
        <color theme="1"/>
        <sz val="8.0"/>
      </rPr>
      <t>Trials</t>
    </r>
  </si>
  <si>
    <t>Gift of Sight</t>
  </si>
  <si>
    <t>enhanced radar for 5s</t>
  </si>
  <si>
    <t>PvP-only benefit</t>
  </si>
  <si>
    <r>
      <rPr>
        <rFont val="Arial"/>
        <b/>
        <color theme="1"/>
      </rPr>
      <t xml:space="preserve">Cruel Electrum
</t>
    </r>
    <r>
      <rPr>
        <rFont val="Arial"/>
        <b/>
        <color theme="1"/>
        <sz val="8.0"/>
      </rPr>
      <t>Trials of Osiris</t>
    </r>
  </si>
  <si>
    <t>Primary Phantom</t>
  </si>
  <si>
    <t>removed from radar for ?s, ends upon readying non-primary</t>
  </si>
  <si>
    <r>
      <rPr>
        <rFont val="Arial"/>
        <b/>
        <color theme="1"/>
      </rPr>
      <t xml:space="preserve">New Demotic
</t>
    </r>
    <r>
      <rPr>
        <rFont val="Arial"/>
        <b/>
        <i/>
        <color theme="1"/>
        <sz val="8.0"/>
      </rPr>
      <t>Trials</t>
    </r>
  </si>
  <si>
    <t>Paroli</t>
  </si>
  <si>
    <t>?% flinch resist for ?s</t>
  </si>
  <si>
    <r>
      <rPr>
        <rFont val="Arial"/>
        <b/>
        <color rgb="FF181A1B"/>
      </rPr>
      <t xml:space="preserve">New Demotic
</t>
    </r>
    <r>
      <rPr>
        <rFont val="Arial"/>
        <b/>
        <i/>
        <color rgb="FF181A1B"/>
        <sz val="8.0"/>
      </rPr>
      <t>Trials</t>
    </r>
  </si>
  <si>
    <t>Martingale</t>
  </si>
  <si>
    <t>ally death or revive</t>
  </si>
  <si>
    <t>? handling and ?x ADS duration for ?s</t>
  </si>
  <si>
    <r>
      <rPr>
        <rFont val="Arial"/>
        <b/>
        <color theme="1"/>
      </rPr>
      <t xml:space="preserve">Apostate's Blade
</t>
    </r>
    <r>
      <rPr>
        <rFont val="Arial"/>
        <b/>
        <color theme="1"/>
        <sz val="8.0"/>
      </rPr>
      <t>Pit of Heresy</t>
    </r>
  </si>
  <si>
    <t>Regenerative Threshold</t>
  </si>
  <si>
    <t>finisher, then critical health</t>
  </si>
  <si>
    <t>20 HP and starts health regen</t>
  </si>
  <si>
    <t>PLACE</t>
  </si>
  <si>
    <r>
      <rPr>
        <rFont val="Arial"/>
        <b/>
        <color theme="1"/>
      </rPr>
      <t xml:space="preserve">Apostate's Blade
</t>
    </r>
    <r>
      <rPr>
        <rFont val="Arial"/>
        <b/>
        <color theme="1"/>
        <sz val="8.0"/>
      </rPr>
      <t>Pit of Heresy</t>
    </r>
  </si>
  <si>
    <t>Melee Conduction</t>
  </si>
  <si>
    <t>melee hits with Radiant, Restoration, or Cure</t>
  </si>
  <si>
    <t>30-40 7m scorching explosion on hit, 1s ICD</t>
  </si>
  <si>
    <t>SCORCH FROM MELEE COUNTS AS MELEE DAMAGE (sometimes)</t>
  </si>
  <si>
    <r>
      <rPr>
        <rFont val="Arial"/>
        <b/>
        <color theme="1"/>
      </rPr>
      <t xml:space="preserve">Circuit
</t>
    </r>
    <r>
      <rPr>
        <rFont val="Arial"/>
        <b/>
        <color theme="1"/>
        <sz val="8.0"/>
      </rPr>
      <t>Sparrow Racing League</t>
    </r>
  </si>
  <si>
    <t>Revving Up</t>
  </si>
  <si>
    <t>fast movement (10 stacks)
sprinting for 2.5s at max stacks</t>
  </si>
  <si>
    <t>+5% critical regen speed per stack (~1.63x speed, starts 0.5s faster)
Speed Booster</t>
  </si>
  <si>
    <r>
      <rPr>
        <rFont val="Arial"/>
        <b/>
        <color theme="1"/>
      </rPr>
      <t xml:space="preserve">CODA
</t>
    </r>
    <r>
      <rPr>
        <rFont val="Arial"/>
        <b/>
        <color theme="1"/>
        <sz val="8.0"/>
      </rPr>
      <t>Prophecy</t>
    </r>
  </si>
  <si>
    <t>So Very Thin</t>
  </si>
  <si>
    <t>Light weapon kills
Dark or kinetic weapon kills
? Light/Dark alternating kills within ?s</t>
  </si>
  <si>
    <t>?% grenade energy
?% melee energy
?% DR for ?s</t>
  </si>
  <si>
    <t>NEED TEST</t>
  </si>
  <si>
    <r>
      <rPr>
        <rFont val="Arial"/>
        <b/>
        <color theme="1"/>
      </rPr>
      <t xml:space="preserve">Iron Battalion
</t>
    </r>
    <r>
      <rPr>
        <rFont val="Arial"/>
        <b/>
        <color theme="1"/>
        <sz val="8.0"/>
      </rPr>
      <t>Iron Banner</t>
    </r>
  </si>
  <si>
    <t>Primary Honing</t>
  </si>
  <si>
    <t>? handling, ? reload, and ?% non-boss damage per ? Weapons for primaries</t>
  </si>
  <si>
    <r>
      <rPr>
        <rFont val="Arial"/>
        <b/>
        <color theme="1"/>
      </rPr>
      <t xml:space="preserve">Iron Battalion
</t>
    </r>
    <r>
      <rPr>
        <rFont val="Arial"/>
        <b/>
        <color theme="1"/>
        <sz val="8.0"/>
      </rPr>
      <t>Iron Banner</t>
    </r>
  </si>
  <si>
    <t>Supercyclical</t>
  </si>
  <si>
    <t>kills in super</t>
  </si>
  <si>
    <t>?% super refund per kill</t>
  </si>
  <si>
    <r>
      <rPr>
        <rFont val="Arial"/>
        <b/>
        <color theme="1"/>
      </rPr>
      <t xml:space="preserve">Seventh Seraph
</t>
    </r>
    <r>
      <rPr>
        <rFont val="Arial"/>
        <b/>
        <color theme="1"/>
        <sz val="8.0"/>
      </rPr>
      <t>Cosmodrome</t>
    </r>
  </si>
  <si>
    <t>Rasputin's Reprisal</t>
  </si>
  <si>
    <t>splash
survivability</t>
  </si>
  <si>
    <t>elite+/construct kills or Tangle destruction with Warmind Charges</t>
  </si>
  <si>
    <t>?m solar explosion that heals allies for ? HP</t>
  </si>
  <si>
    <r>
      <rPr>
        <rFont val="Arial"/>
        <b/>
        <color theme="1"/>
      </rPr>
      <t xml:space="preserve">Techeun's Regalia
</t>
    </r>
    <r>
      <rPr>
        <rFont val="Arial"/>
        <b/>
        <color theme="1"/>
        <sz val="8.0"/>
      </rPr>
      <t>Shattered Throne</t>
    </r>
  </si>
  <si>
    <t>Truth to Power</t>
  </si>
  <si>
    <t>survivability
ability</t>
  </si>
  <si>
    <t>dealing damage, kills, or finishers (? stacks)</t>
  </si>
  <si>
    <t>?% DR per stack for ?s, ?% ability recharge at max stacks</t>
  </si>
  <si>
    <t>currently bugged</t>
  </si>
  <si>
    <r>
      <rPr>
        <rFont val="Arial"/>
        <b/>
        <color theme="1"/>
      </rPr>
      <t xml:space="preserve">Triumphal Anthem
</t>
    </r>
    <r>
      <rPr>
        <rFont val="Arial"/>
        <b/>
        <color theme="1"/>
        <sz val="8.0"/>
      </rPr>
      <t>Crucible</t>
    </r>
  </si>
  <si>
    <t>Shoot to Scoot</t>
  </si>
  <si>
    <t>weapon damage</t>
  </si>
  <si>
    <t>slides are ?m longer and give ?% DR for ?s</t>
  </si>
  <si>
    <r>
      <rPr>
        <rFont val="Arial"/>
        <b/>
        <color theme="1"/>
      </rPr>
      <t xml:space="preserve">Wildwood
</t>
    </r>
    <r>
      <rPr>
        <rFont val="Arial"/>
        <b/>
        <color theme="1"/>
        <sz val="8.0"/>
      </rPr>
      <t>EDZ</t>
    </r>
  </si>
  <si>
    <t>Watchtower</t>
  </si>
  <si>
    <t>ADS precision kills</t>
  </si>
  <si>
    <t>?% DR until ADS stopped</t>
  </si>
  <si>
    <r>
      <rPr>
        <rFont val="Arial"/>
        <b/>
        <color theme="1"/>
      </rPr>
      <t xml:space="preserve">Wildwood
</t>
    </r>
    <r>
      <rPr>
        <rFont val="Arial"/>
        <b/>
        <color theme="1"/>
        <sz val="8.0"/>
      </rPr>
      <t>EDZ</t>
    </r>
  </si>
  <si>
    <t>Field Expertise</t>
  </si>
  <si>
    <t>ADS precision kills (? stacks)</t>
  </si>
  <si>
    <t>? reload, ? aim assist, ?% non-boss damage for ?s per stack (ends early on body kills)</t>
  </si>
  <si>
    <t>INFORMATION</t>
  </si>
  <si>
    <t>Subclass</t>
  </si>
  <si>
    <t>Stats</t>
  </si>
  <si>
    <t>Devour for 5-7.5s on orb or Void Breach pickup</t>
  </si>
  <si>
    <t>-10 Class</t>
  </si>
  <si>
    <t>Universal</t>
  </si>
  <si>
    <t>Prismatic</t>
  </si>
  <si>
    <t>Light abilities deal 10% more damage (+50% powered melee) to dark-debuffed enemies</t>
  </si>
  <si>
    <t>+10 Grenade</t>
  </si>
  <si>
    <t>DPS or Combination Blow builds</t>
  </si>
  <si>
    <t>Orbs give super-matching defensive elemental buff (5-9s) or Bolt Charge (Arc)</t>
  </si>
  <si>
    <t>Radiant to allies within 8m for 8-12s on powered melee hit</t>
  </si>
  <si>
    <t>-10 Grenade</t>
  </si>
  <si>
    <t>Applying solar effects to allies gives +300% ability regen for 7s</t>
  </si>
  <si>
    <t>Healing loops in team settings</t>
  </si>
  <si>
    <t>Grenade regen scaled with damage dealt</t>
  </si>
  <si>
    <t>Void Overshield for 5-7.5s on critical health kill, 8s ICD</t>
  </si>
  <si>
    <t>/</t>
  </si>
  <si>
    <t>Passive sustain</t>
  </si>
  <si>
    <t>25% DR for 2s if within 15m of 3 enemies, 2s linger</t>
  </si>
  <si>
    <t>+10 Melee</t>
  </si>
  <si>
    <t>Void grenade damage weakens
Arc grenade damage jolts</t>
  </si>
  <si>
    <t>Warlock debuff option and empowers Arc Soul</t>
  </si>
  <si>
    <t>5s of Woven Mail on orb pickup</t>
  </si>
  <si>
    <t>-10 Health</t>
  </si>
  <si>
    <t>15% DR for 2s if within 15m of 3 enemies, 2s linger</t>
  </si>
  <si>
    <t>+400% base class regen for 3s on scorching non-scorched enemy</t>
  </si>
  <si>
    <t>Neutral off titan</t>
  </si>
  <si>
    <t>`+500% base grenade regen rate for 6s on crystal break, 11s max</t>
  </si>
  <si>
    <t>5-7s invisibility on finisher</t>
  </si>
  <si>
    <t>+10 Class</t>
  </si>
  <si>
    <t>Invisibility off hunter</t>
  </si>
  <si>
    <t>Increases Frost Armor max stacks to x8, and duration to 13s</t>
  </si>
  <si>
    <t>33% Threadling damage increase, faster travel and max distance</t>
  </si>
  <si>
    <t>+10 Super</t>
  </si>
  <si>
    <t>Threadling builds and Needlestorm damage</t>
  </si>
  <si>
    <t>7% grenade on damage taken, 12% with Frost Armor, 1s ICD</t>
  </si>
  <si>
    <t>Weaken for 6s on void grenade hit</t>
  </si>
  <si>
    <t>Secondary weaken source</t>
  </si>
  <si>
    <t>Powered melee hits give Radiant to self for 5s
Powered melee kills give Radiant to allies for 5s</t>
  </si>
  <si>
    <t>-10 Melee</t>
  </si>
  <si>
    <t>Self-buffing on Prismatic</t>
  </si>
  <si>
    <t>Void buffs last 40-50% longer</t>
  </si>
  <si>
    <t>-10 Weapons (hunter)
-10 Health (titan)
-10 Class (warlock)</t>
  </si>
  <si>
    <t>Special/heavy arc kills while Amplified create 7.5m blinding blast</t>
  </si>
  <si>
    <t>Weapon-focused Arc builds</t>
  </si>
  <si>
    <t>Scorch stacks increased by 50% (some exceptions)</t>
  </si>
  <si>
    <t>Ignition builds</t>
  </si>
  <si>
    <t>Ignitions apply 40-60 scorch to nearby enemies</t>
  </si>
  <si>
    <t>Caliban's Hand and Hellion builds</t>
  </si>
  <si>
    <t>Ionic Trace on 3 Arc weapon kill counter
Bolt Charge stack on Ionic Trace pickup</t>
  </si>
  <si>
    <t>Lightning grenade fires 5 bolts
Pulse grenade fires 8 pulses
Storm grenade lasts longer</t>
  </si>
  <si>
    <t>Grenade-focused Arc builds</t>
  </si>
  <si>
    <t>Restoration and Radiant last 50% longer</t>
  </si>
  <si>
    <t>Consistency-focused buff uptime</t>
  </si>
  <si>
    <t>Slow and abilities last longer</t>
  </si>
  <si>
    <t>Shards give more melee energy (50-75%)</t>
  </si>
  <si>
    <t>-20 Melee</t>
  </si>
  <si>
    <t>Howl of the Storm builds</t>
  </si>
  <si>
    <t>After 1/5 mag of precision hits, severing burst applied to enemy, 4s ICD</t>
  </si>
  <si>
    <t>Sever uptime on bosses, precision-based weapon builds</t>
  </si>
  <si>
    <t>Sever burst on multiple precision hits, 4s ICD</t>
  </si>
  <si>
    <t>Solar kills extend Restoration and Radiant (1.5-6s, max 15s)</t>
  </si>
  <si>
    <t>10-30% melee on Tangle damage</t>
  </si>
  <si>
    <t>Berserker Frenzied Blade regen, Threadrunner Threaded Spike regen</t>
  </si>
  <si>
    <t>+40-60% class regen while elemental buffed (1-2 buffs)</t>
  </si>
  <si>
    <t>Shatter or crystal destruction has additional damage tick
Ignitions have 25% increased radius</t>
  </si>
  <si>
    <t>+10 Weapons</t>
  </si>
  <si>
    <t>GPG or Winter's Shroud builds</t>
  </si>
  <si>
    <t>50% longer Strand debuffs</t>
  </si>
  <si>
    <t>Suspend builds</t>
  </si>
  <si>
    <t>Scorched kills give melee energy (8-25%) and make Firesprites</t>
  </si>
  <si>
    <t>Default choice for Firesprite generation</t>
  </si>
  <si>
    <t>Shatter or crystal destruction has additional damage tick</t>
  </si>
  <si>
    <t>Melee kills start health regen, also applies to allies while Transcendent</t>
  </si>
  <si>
    <t>Secondary survivability option</t>
  </si>
  <si>
    <t>Grenade kills give Cure x1
Prismatic grenade kills give Cure x2</t>
  </si>
  <si>
    <t>GPG or grapple melee builds</t>
  </si>
  <si>
    <t>Grenade kills give Cure x1</t>
  </si>
  <si>
    <t>Sunbracers without Heat Rises and Starfire builds</t>
  </si>
  <si>
    <t>Restoration x1 for 2-3s on Firesprite pickup, 5-7.5s on revive</t>
  </si>
  <si>
    <t>+10 Health</t>
  </si>
  <si>
    <t>Restoration without healing grenade or phoenix dive</t>
  </si>
  <si>
    <t>40 handling, reload, 0.925x reload duration for 15s, loads current weapon on grenade usage, 4s ICD</t>
  </si>
  <si>
    <t>QoL secondary fragment, boss DPS reloads</t>
  </si>
  <si>
    <t>Loads all weapons, 40 handling for 5s on powered melee damage, 5s ICD</t>
  </si>
  <si>
    <t>Lucky Pants Revenant damage</t>
  </si>
  <si>
    <t>10s ICD Ionic Trace on jolted kill or Bolt Charge kill</t>
  </si>
  <si>
    <t>Shock-focused or Arcstrider melee builds</t>
  </si>
  <si>
    <t>Jolt on arc grenade hit</t>
  </si>
  <si>
    <t>Freezing or suppressing refills readied weapon, 4s ICD
Killing frozen/suppressed enemy spawns Stasis Shard or Void Breach</t>
  </si>
  <si>
    <t>Rocket or GL reloads</t>
  </si>
  <si>
    <t>10s ICD orb on weakened kill
5s ICD Void Breach on weakened kill</t>
  </si>
  <si>
    <t>10s ICD orb on Amplified multikill</t>
  </si>
  <si>
    <t>100% primary damage to crystals, 50% to frozen targets</t>
  </si>
  <si>
    <t>Lucky Pants Revenant damage, exotic primary-focused builds</t>
  </si>
  <si>
    <t>Improved void grenade duration (25-55%)</t>
  </si>
  <si>
    <t>15 stability, 50 reload, 0.8x reload duration for 5s on melee hit
Additional per-source Bolt Charge stack while Amplified</t>
  </si>
  <si>
    <t>Weapon-focused Arc builds off warlock</t>
  </si>
  <si>
    <t>Light-buffed ability kills give 1% darkness Transcendence energy</t>
  </si>
  <si>
    <t>Transcendence farming</t>
  </si>
  <si>
    <t>Kills while Transcendent spawn up to 4 large orbs (at 10 minors or 3 major kills) for allies only</t>
  </si>
  <si>
    <t>Super-Transcendence chaining</t>
  </si>
  <si>
    <t>Stasis debuffed kills give class energy (9-50%)</t>
  </si>
  <si>
    <t>3 light/dark kills with 3s between give 10% melee/grenade</t>
  </si>
  <si>
    <t>3 elemental kills with 6s between or super kill spawns element-matching pickup, 5s ICD</t>
  </si>
  <si>
    <t>Secondary pickup generation for use with Honor</t>
  </si>
  <si>
    <t>Volatile burst on finisher
Void Breach on volatile kill</t>
  </si>
  <si>
    <t>Volatile builds</t>
  </si>
  <si>
    <t>?% super energy on kills within 8m of 3+ enemies, 1s? ICD</t>
  </si>
  <si>
    <t>Super farming builds</t>
  </si>
  <si>
    <t>3-8% melee on grenade damage</t>
  </si>
  <si>
    <t>Melee cycling off warlock</t>
  </si>
  <si>
    <t>Grenade kills give Volatile Rounds for 11s
Powered melee kills give Unraveling Rounds for 11s</t>
  </si>
  <si>
    <t>Barrier stun on Consecration/Combination Blow</t>
  </si>
  <si>
    <t>Volatile Rounds for 11s on grenade kill</t>
  </si>
  <si>
    <t>Weapon add clear if abilities weak</t>
  </si>
  <si>
    <t>Unraveling Rounds for 8s on powered melee kill</t>
  </si>
  <si>
    <t>Anti-Barrier on Berserker</t>
  </si>
  <si>
    <t>Threadling on 3 kill counter with Strand weapons (scales with enemy type)</t>
  </si>
  <si>
    <t>Weapon-focused Strand builds</t>
  </si>
  <si>
    <t>x1 Frost Armor for melee shattering an enemy</t>
  </si>
  <si>
    <t>+100% melee damage for first hit for 5s on receiving melee damage, not refreshable</t>
  </si>
  <si>
    <t>Melee-focused Arc builds</t>
  </si>
  <si>
    <t>15m shard magnetism on 1s delay</t>
  </si>
  <si>
    <t>+10 Health
+10 Super</t>
  </si>
  <si>
    <t>QoL fragment for Rime builds</t>
  </si>
  <si>
    <t>Small Stasis Shard on 3 kill counter with Frost Armor active</t>
  </si>
  <si>
    <t>Using elemental pickup gives 5-10% matching Transcendence energy</t>
  </si>
  <si>
    <t>Ignition kills give 8-25% grenade energy</t>
  </si>
  <si>
    <t>10s ICD orb on frozen kill</t>
  </si>
  <si>
    <t>-10 Super</t>
  </si>
  <si>
    <t>Secondary orb fragment</t>
  </si>
  <si>
    <t>Suspended kills give class energy (10-30%)</t>
  </si>
  <si>
    <t>10s ICD orb on suspended kill</t>
  </si>
  <si>
    <t>Killing dark-debuffed enemies gives more light Transcendence energy (1-5%)</t>
  </si>
  <si>
    <t>Ignitions have 25% increased radius</t>
  </si>
  <si>
    <t>Kinetic weapon kills give 2% more Transcendence to self
Super kills give 2% more Transcendence to allies</t>
  </si>
  <si>
    <t>10s ICD orb on ignition multikill</t>
  </si>
  <si>
    <t>Explosion on void ability kill</t>
  </si>
  <si>
    <t>Additional explosions on Tether kills</t>
  </si>
  <si>
    <t>7.5-25% grenade on melee kill</t>
  </si>
  <si>
    <t>Glaive melee builds</t>
  </si>
  <si>
    <t>Solar super kills cause ignitions and make Firesprites</t>
  </si>
  <si>
    <t>Solar kills in Well and Deadshot spam</t>
  </si>
  <si>
    <t>30 Weapons, 4% move speed for 10s and current weapon load on suppress, 4s ICD
Void Breach on suppressed kill</t>
  </si>
  <si>
    <t>Reloading using Tether, Two-Tailed Fox, or suppressor grenade, Wavesplitter builds</t>
  </si>
  <si>
    <t>Solar weapon kills give 20-60 Health (3 stacks) to allies within 15m for 8s and spawn Firesprites</t>
  </si>
  <si>
    <t>Alternative Firesprite generation option</t>
  </si>
  <si>
    <t>Finishers create super-matching debuffing 7m explosion</t>
  </si>
  <si>
    <t>Severance builds</t>
  </si>
  <si>
    <t>Transcendent ability kills trigger ability-matched explosion</t>
  </si>
  <si>
    <t>Small Stasis Shard on 3 kill counter using stasis weapons, 5s ICD</t>
  </si>
  <si>
    <t>Health regen for allies on melee kill</t>
  </si>
  <si>
    <t>4m/s crouch, doubled crouched radar resolution</t>
  </si>
  <si>
    <t>+10 Weapon
+10 Super</t>
  </si>
  <si>
    <t>Weapon kills with Woven Mail spawn Tangles</t>
  </si>
  <si>
    <t>Throwaway secondary Tangle source</t>
  </si>
  <si>
    <t>Sliding over ammo refills weapon and gives Bolt Charge x3</t>
  </si>
  <si>
    <t>Useless</t>
  </si>
  <si>
    <t>+400% grenade and melee regen while critical</t>
  </si>
  <si>
    <t>Passive regen</t>
  </si>
  <si>
    <t>Precision kills on blinded enemies create 7.5m blinding blast</t>
  </si>
  <si>
    <t>x10 Slow upon dealing or receiving physical melee damage with Frost Armor</t>
  </si>
  <si>
    <t>Slow debuff on regular melee</t>
  </si>
  <si>
    <t>+150% class regen after 1.25s of sprinting</t>
  </si>
  <si>
    <t>Amplified and Bolt Charge stack on finisher</t>
  </si>
  <si>
    <t>Threadling on finisher (scales with enemy type)</t>
  </si>
  <si>
    <t>Homing Blade Barrage and Daybreak projectiles</t>
  </si>
  <si>
    <t>Situational Blade Barrage tracking</t>
  </si>
  <si>
    <t>Suspend blast on super kill</t>
  </si>
  <si>
    <t>Bladefury QoL</t>
  </si>
  <si>
    <t>? handling and 30 Health for 11s on freeze</t>
  </si>
  <si>
    <t>+50 Health after 1.25s of sprinting</t>
  </si>
  <si>
    <t>Arc jolting burst on damage received at critical health, 15s ICD</t>
  </si>
  <si>
    <t>Ability kills grant Devour
Devour gives 140 HP on activation, lasts 10-15s, and gives 15-40% grenade and 5-8s duration on kill</t>
  </si>
  <si>
    <t>only remaining unnerfed Devour source left, also great grenade regen built-in</t>
  </si>
  <si>
    <t>Tempest Strike</t>
  </si>
  <si>
    <t>Bolt Charge on jolted enemy kill
22m jolting uppercut on slide melee, 75% DR for 4s after usage</t>
  </si>
  <si>
    <t>insanely OP DR with Combination Blow</t>
  </si>
  <si>
    <t>Crackshot</t>
  </si>
  <si>
    <t>Soul Siphon</t>
  </si>
  <si>
    <t>Shieldburst</t>
  </si>
  <si>
    <t>Controlled Demolition</t>
  </si>
  <si>
    <t>Void ability damage and volatile explosions apply volatile
Volatile explosions restore 90 HP to allies within 40m of user</t>
  </si>
  <si>
    <t>probably the strongest sustained chunk healing in the game</t>
  </si>
  <si>
    <t>60 slow stacks to enemies within 9m for 8-12s on dodge
+300% class regen for 3s on slow
50% DR for 4s on dodge</t>
  </si>
  <si>
    <t>essentially permanent 50% DR and free Courage application on a non-boss scale</t>
  </si>
  <si>
    <t>Banner of War</t>
  </si>
  <si>
    <t>4 stack buff (sword, melee, glaive melee, finisher, super light)
+100% melee, 40% Bladefury, 10% sword damage (20% self)
15s base, 24s max, 2.5-1s healing pulse rate based on stacks</t>
  </si>
  <si>
    <t>only aspect that gives stackable weapon boost, also good sustain and melee damage</t>
  </si>
  <si>
    <r>
      <rPr>
        <rFont val="Arial"/>
        <color theme="1"/>
      </rPr>
      <t>3(</t>
    </r>
    <r>
      <rPr>
        <rFont val="Arial"/>
        <color rgb="FFFF00FF"/>
      </rPr>
      <t>2</t>
    </r>
    <r>
      <rPr>
        <rFont val="Arial"/>
        <color theme="1"/>
      </rPr>
      <t>)</t>
    </r>
  </si>
  <si>
    <t>Airborne air move consumes class ability (triggers effects) and amplifies allies and jolts enemies within 10m</t>
  </si>
  <si>
    <t>100% teamwide Amplified uptime while triggering class ability effects</t>
  </si>
  <si>
    <t>Sol Invictus</t>
  </si>
  <si>
    <t>Solar ability kills, scorched kills, and Hammer of Sol impacts make refreshable Sunspots for 12s
Restoration x1 for 5-7.5s, 100% grenade/melee regen inside</t>
  </si>
  <si>
    <t>constant Restoration access, chainable staggering ticks on adds, passive ability regen</t>
  </si>
  <si>
    <t>50-100 HP, regen start, and Amplified on melee kill
+160% melee damage, unpowered conversion, 6m lunge for 6s on shield break or sub 30% target damage</t>
  </si>
  <si>
    <t>free Amplified and chunk healing on melee kills, universal melee damage boost</t>
  </si>
  <si>
    <t>Air move toggles Weavewalk while airborne, giving 90% DR, perched Threadling every 0.5s, costs 25% melee per second, and disables weapons, abilities, etc., Woven Mail to allies on exit (2-20s)</t>
  </si>
  <si>
    <t>excellent response strategy for survivability in low power content</t>
  </si>
  <si>
    <r>
      <rPr>
        <rFont val="Arial"/>
        <color rgb="FF181A1B"/>
      </rPr>
      <t>3(</t>
    </r>
    <r>
      <rPr>
        <rFont val="Arial"/>
        <color rgb="FFFF00FF"/>
      </rPr>
      <t>2</t>
    </r>
    <r>
      <rPr>
        <rFont val="Arial"/>
        <color rgb="FF181A1B"/>
      </rPr>
      <t>)</t>
    </r>
  </si>
  <si>
    <t>Sliding powered melee creates igniting slam on recast
25% non-melee DR during animation</t>
  </si>
  <si>
    <t>has strong intangibles but doesn't have any outstanding special effects</t>
  </si>
  <si>
    <t>Debuffed kills give invisibility (8-11.2s) and truesight (4s), with invisibility going on cooldown for 2s after wearing off
Melees deal +300% damage, weaken for 5s, have more range</t>
  </si>
  <si>
    <t>invisibility not as high value any more, melee damage bonus is situational</t>
  </si>
  <si>
    <t>Spawns strand decoy on dodge that attracts attacks, lasts 12s, and explodes and spawns 2 Threadlings on destruction
0.6x class regen while equipped</t>
  </si>
  <si>
    <t>high uptime and deaggro source, very easy to use</t>
  </si>
  <si>
    <t>10 stack buff in 15m for 12s (crit kill/HC crit: 2, dodge: 1, crit: 1)
15-45? reload, 5-50 Weapons, 0.95x-0.85x? reload duration
Cure on kill at 10 stacks</t>
  </si>
  <si>
    <t>high utility for fireteam damage, provides pseudo-Devour effect</t>
  </si>
  <si>
    <r>
      <rPr>
        <rFont val="Arial"/>
        <color theme="1"/>
      </rPr>
      <t>2(</t>
    </r>
    <r>
      <rPr>
        <rFont val="Arial"/>
        <color rgb="FFFF00FF"/>
      </rPr>
      <t>3</t>
    </r>
    <r>
      <rPr>
        <rFont val="Arial"/>
        <color theme="1"/>
      </rPr>
      <t>)</t>
    </r>
  </si>
  <si>
    <t>6 stack explosive with 6s ICD that replaces grenade (weapon: 1, ignition/scorch: 3, ability: 4, super: 6)
Bigger ignition + submunitions if shot, otherwise detonates 3s after throw</t>
  </si>
  <si>
    <t>splash damage outlier even though doesn't provide much consistency</t>
  </si>
  <si>
    <t>Bolt Charge x4 to allies on class ability cast (x6 for thruster)
Barricade gives Bolt Charge (no Frequency doubling) over time and allows for weapon discharge at max stacks</t>
  </si>
  <si>
    <t>free fireteam damage, but very one-dimensional use case</t>
  </si>
  <si>
    <t>Into the Fray</t>
  </si>
  <si>
    <t>3 pulses that give Woven Mail and 15 HP on Tangle destruction
Woven Mail to allies on super cast
+300% melee regen during Woven Mail</t>
  </si>
  <si>
    <t>solid survivability with 10s Woven Mail source, great uptime from melee regen</t>
  </si>
  <si>
    <t>Lethal Current</t>
  </si>
  <si>
    <t>Melee hits on jolted enemies apply blind
Jolting 7m range aftershock melees, double damage light attack on Arc Staff after dodge</t>
  </si>
  <si>
    <t>Blind application generally not relevant, aftershock damage just okay</t>
  </si>
  <si>
    <t>Sliding jolting powered melee that grants hit-based Bolt Charge and Amplified, gives %DR for ?s on usage</t>
  </si>
  <si>
    <t>straightforward splash melee aspect, more risky and less consistent vs. Consecration</t>
  </si>
  <si>
    <t>Roaring Flames</t>
  </si>
  <si>
    <t>3 stack buff for 20s (ability kills and ignitions)
20-73% non-melee ability damage (67-200% melee)
Unpowered conversion and 30-40 scorch on melee</t>
  </si>
  <si>
    <t>strong ability damage buff and forgiving timer but not very versatile</t>
  </si>
  <si>
    <t>Touch of Flame</t>
  </si>
  <si>
    <t>Firebolt gets 50% radius and 5 enemies, solar gets 2s duration and magma blobs, fusion gets 2 explosions, and healing gets Cure x2 and Restoration x2 for 4-6s</t>
  </si>
  <si>
    <t>like Touch of Thunder, damage/Restoration x2 specialist but not as applicable</t>
  </si>
  <si>
    <t>Flashbang blinds after first bounce, lightning has 2 charges and jolts on every tick past 1st, pulses make Ionic Traces every 1s and ramp damage, storms roam after detonation</t>
  </si>
  <si>
    <t>meta for grenade damage, but zero survivability or utility outside buffing grenades</t>
  </si>
  <si>
    <t>Grapple melee makes 3 Threadlings, Threadling consume makes 5 perched Threadlings, shackle consume gives Weaver's Trance for 25s (suspending explosion on kills)</t>
  </si>
  <si>
    <t>best combination of suspend CC with offense, technically best Threadling spam</t>
  </si>
  <si>
    <t>Iceflare Bolts</t>
  </si>
  <si>
    <t>Freezing 12m seeker on enemy shatter
8s ICD after 7 seekers</t>
  </si>
  <si>
    <t>insane chain CC spread, not very offensive but great ability efficiency, build-dependent</t>
  </si>
  <si>
    <t>Whirling Maelstrom</t>
  </si>
  <si>
    <t>Spawns tracking vortex upon Tangle destruction
Vortex unravels targets on kill, triggering Tangle effects
Can be grappled to</t>
  </si>
  <si>
    <t>pretty solid splash with lingering stagger effects, also QoL with grapple point</t>
  </si>
  <si>
    <t>Class ability spawns solar turret for 20s
3 shot ignition with Ashes, 4 without (no grenade scaling)</t>
  </si>
  <si>
    <t>high uptime stagger source that takes low CD ability instead of grenade/melee</t>
  </si>
  <si>
    <t>Bleak Watcher</t>
  </si>
  <si>
    <t>Grenade cooldown changed to glacier
Charged grenade deploys stasis turret
Turret applies 20 slow on hit and lasts 25-30s</t>
  </si>
  <si>
    <t>reliable CC option, helps "soften" targets in the way Hellion does</t>
  </si>
  <si>
    <t>3 Threadlings and perched deployment on class ability cast
Damage/kill counter that adds perched Threadlings with 2s ICD
10% class energy on Threadling hit</t>
  </si>
  <si>
    <t>passive damage and class regen, very background</t>
  </si>
  <si>
    <t>Sliding powered melee knocks enemies away, consumes 50% per cast, and launches barrages of unraveling projectiles
25% DR against non-melee during animation</t>
  </si>
  <si>
    <t>ranged but definitely lacking in power compared to other powered melee aspects</t>
  </si>
  <si>
    <t>6 stack 15s turret with 6s ICD that replaces grenade (weapon: 1, ability: 2), blinding on impact and chaining lightning at enemies within 16m, granting Bolt Charge stacks on hit</t>
  </si>
  <si>
    <t>like Bleak Watcher but does damage and synergizes with Arc sandbox</t>
  </si>
  <si>
    <t>Spawns 7s ICD lance on stasis or ability kill
Lance can be thrown or slammed, freezing and giving x2 Frost Armor to allies on impact (slam only)</t>
  </si>
  <si>
    <t>gameplay loop is too slow and non-lethal, but decent Frost Armor source</t>
  </si>
  <si>
    <t>Charged grenade makes blinding void shield for 3s with 95% DR, releases response damage upon depletion, makes orbs every 4.5s every 10 damage taken on Sentinel Shield</t>
  </si>
  <si>
    <t>best get-out-of-jail card in the game, but tied to long CD</t>
  </si>
  <si>
    <t>Dodge animation travels further and gives invisibility for 5-7s</t>
  </si>
  <si>
    <t>shorter invisibility CD vs. Trapper's with better synergies</t>
  </si>
  <si>
    <t>Suspending dive air move, triggers class ability usage effects
Woven Mail for 4s for each suspended enemy, up to 20s</t>
  </si>
  <si>
    <t>very consistent Woven Mail source, suspend not as relevant in current sandbox</t>
  </si>
  <si>
    <t>Tectonic Harvest</t>
  </si>
  <si>
    <t>Small Stasis Shard on crystal or enemy shatter
x1-3 Frost Armor and 10-? HP from shard pickup</t>
  </si>
  <si>
    <t>best of the harvest aspects, but still forces shard gameplay loop</t>
  </si>
  <si>
    <t>Rifts grant allies Arc Souls
+40-120% class regen near allies (up to 3)
Amplified boosts Arc Soul fire rate by 2.25x</t>
  </si>
  <si>
    <t>overshadowed by Getaway Artist and damage benefit isn't substantial in full teams</t>
  </si>
  <si>
    <t>45 HP Void Overshield to allies on super cast or barricade cast
Barricades regen 11 Void Overshield HP/s</t>
  </si>
  <si>
    <t>best teamwide Void Overshield applicator, but tied to long CD</t>
  </si>
  <si>
    <t>Knock 'em Down</t>
  </si>
  <si>
    <t>Powered melee kills refund if Radiant
Marksman Golden Gun is 4s longer, Deadshot Golden Gun gets 15% DR, Blade Barrage gains 3 knives per fan</t>
  </si>
  <si>
    <t>refunds a variety of melees that aren't very potent</t>
  </si>
  <si>
    <t>Ionic Trace on Arc ability and Arc debuffed kills
Ionic Traces grant Amplified</t>
  </si>
  <si>
    <t>good elemental pickup but doesn't affect endgame outside spammability</t>
  </si>
  <si>
    <t>Widow's Silk</t>
  </si>
  <si>
    <t>Grants additional grenade charge
Grapples make grapple points that grant allies grapple ability</t>
  </si>
  <si>
    <t>consistency pick for Cyrt synergy and grapple point creation</t>
  </si>
  <si>
    <t>Stasis debuffed kills spawn Stasis Shard (size based on rank)
x1-3 Frost Armor and 10-? HP from shard pickup</t>
  </si>
  <si>
    <t>core shard spam aspect, but shard gameplay loop isn't very endgame-appealing</t>
  </si>
  <si>
    <t>Additional melee charge
Sliding powered melee creates 8 crystal wave uppercut</t>
  </si>
  <si>
    <t>much worse individually vs. better powered melee aspects, needs Tectonic pairing</t>
  </si>
  <si>
    <t>Overcharge grenades: axions: +2 seekers and 25% damage, scatter: +4 projectiles, tracking, 25% damage, vortex: 7.5% duration, 70% radius, enhanced pull, others: creates volatile HHSN blast</t>
  </si>
  <si>
    <t>overcharge tradeoff + lack of class-leading options for damage and other purposes</t>
  </si>
  <si>
    <t>Trapper's Ambush</t>
  </si>
  <si>
    <t>Grants a weakening invisibility dive that uses melee charge
Dive leaves smoke cloud that weakens and damages
Snare bomb gives invisibility to allies for 5-7s</t>
  </si>
  <si>
    <t>not really relevant any more outside of pure stealth scenarios</t>
  </si>
  <si>
    <t>Deployable weakening Void Soul for 25s on rift cast
Healing or empowering drain give 4% grenade/melee or 25 HP every 1.4s, and drained kills give 10-50% class</t>
  </si>
  <si>
    <t>solid debuff extension but more fruitful ability regen options exist</t>
  </si>
  <si>
    <t>Weapon and abilities can be used while gliding
20-50% melee from airborne kills
Cure x2 for allies on consumption, 5-15s duration on aerial kill</t>
  </si>
  <si>
    <t>good for movement and QoL for in-air shooting, dated Restoration x2 source</t>
  </si>
  <si>
    <t>2 throws in Sentinel Shield, unpowered conversion that gives 10 HP Void Overshield, +400% grenade regen, +160% melee damage, 5.5m lunge with Void Overshield active</t>
  </si>
  <si>
    <t>consistency problems in low power content, effects comparable to better uptime aspects</t>
  </si>
  <si>
    <t>Grants 4s ICD vertical dive that shatters crystals and enemies
Increased shatter damage
Frost Armor on crystal or enemy shatter</t>
  </si>
  <si>
    <t>QoL Frost Armor source, but still mostly just a movement option</t>
  </si>
  <si>
    <t>Touch of Winter</t>
  </si>
  <si>
    <t>Coldsnap seekers duplicate on freeze and spawn crystals on chain detonations, duskfield gets 50% radius and crystal inside, glacier becomes a heptagon</t>
  </si>
  <si>
    <t>extremely one-dimensional aspect, effect is quite niche</t>
  </si>
  <si>
    <t>Entering invisibility marks a random non-boss target
Killing target creates ally-cloaking weakening smoke cloud and gives reload and ability energy (3 stacks, 7s)</t>
  </si>
  <si>
    <t>spree requirement too strict for endgame, walking to smoke clouds also potentially risky</t>
  </si>
  <si>
    <t>Amplified on jolted enemy kill
+200% class regen, +50 reload, 0.8x reload duration, and 66% DR during dodge while Amplified</t>
  </si>
  <si>
    <t>QoL effects but Amplified trigger and dodge DR not very applicable</t>
  </si>
  <si>
    <t>Icarus Dash</t>
  </si>
  <si>
    <t>Grants horizontal dash with 4s ICD
Two dashes with Heat Rises
Cure x1 on standard 3 kill counter within 5s</t>
  </si>
  <si>
    <t>QoL movement choice with physics immunity frames, consistency pick</t>
  </si>
  <si>
    <t>Stasis Shard near enemy on freeze (scales with enemy type)
x1-3 Frost Armor and 10-? HP from shard pickup</t>
  </si>
  <si>
    <t>least consistent harvest aspect</t>
  </si>
  <si>
    <t>Tracking 30m suspending lash on barricade cast</t>
  </si>
  <si>
    <t>suspend focus on long CD, also mediocre value without Abeyant</t>
  </si>
  <si>
    <t>Juggernaut</t>
  </si>
  <si>
    <t>50 HP overshield (Amplified 33% DR, 60% splash DR, 10% general DR) that gives Bolt Charge per hit absorbed while sprinting with full class energy, fully depletes class on destruction</t>
  </si>
  <si>
    <t>fairly tanky overshield but uptime too poor and sprint requirement annoying</t>
  </si>
  <si>
    <t>Suspending blast on Tangle destruction
Tangles are unaffected by Gravity and seek/attach to enemies
Threadling kills spawn Tangles</t>
  </si>
  <si>
    <t>tradeoffs against normal tangle (delayed detonation) and suspend on long CD</t>
  </si>
  <si>
    <t>Frostpulse</t>
  </si>
  <si>
    <t>8.5m freezing pulse and +2.5m lunge for 1.2s on rift cast
11% class energy on freeze</t>
  </si>
  <si>
    <t>basically just for PvP cheese</t>
  </si>
  <si>
    <t>Cryoclasm</t>
  </si>
  <si>
    <t>2s ICD +50% distance slide and instant shatter on slide collision</t>
  </si>
  <si>
    <t>basically just for PvP movement</t>
  </si>
  <si>
    <t>Survivability</t>
  </si>
  <si>
    <t>Movement</t>
  </si>
  <si>
    <t>Speaker's Sight healing grenade spam
Sunbracers solar grenade spam</t>
  </si>
  <si>
    <t>Sustain: ToF healing grenade, Ember of Empyrean, Ember of Resolve, Phoenix Dive, Heat Rises
DR: Well of Radiance, Song of Flame</t>
  </si>
  <si>
    <t>Abilities: ToF solar grenade
Buff: Ember of Torches, Well of Radiance, Song of Flame
Reloads: RoF Icarus Dash</t>
  </si>
  <si>
    <t>Heat Rises
Icarus Dash
Phoenix Dive
Well skating</t>
  </si>
  <si>
    <t>Gunpowder Gamble spam
Synthoceps grapple melee
Liar's Combination Blow</t>
  </si>
  <si>
    <t>Sustain: Stylish Executioner invisibility, Threaded Specter deaggro, Combination Blow healing, Facet of Purpose
DR: Spirit of Renewal/Cyrtarachne, Transcendence, Facet of Protection, Winter's Shroud</t>
  </si>
  <si>
    <t>Abilities: Celestial Nighthawk Golden Gun - Marksman, Stylish Executioner Synthoceps grapple melee
Buff: Facet of Dawn, Facet of Courage, Acrobat's Dodge
Debuff: Snare Bomb</t>
  </si>
  <si>
    <t>Blink
Grapple
Ascension</t>
  </si>
  <si>
    <t>Buddy spam (Hellion, Arc Soul, Bleak Watcher)
Synthoceps Lightning Surge</t>
  </si>
  <si>
    <t>Sustain: Feed the Void, Phoenix Dive, healing grenade, Facet of Purpose
DR: Song of Flame, Transcendence, Facet of Protection</t>
  </si>
  <si>
    <t>Abilities: Feast of Light x6 Nova Bomb - Cataclysm, Arcane Needle unravel, buddy damage
Debuff: Facet of Dominance Freezing Singularity, vortex grenade
Buff: Facet of Dawn, Facet of Courage, Song of Flame</t>
  </si>
  <si>
    <t>Blink</t>
  </si>
  <si>
    <t>Synthoceps Consecration</t>
  </si>
  <si>
    <t>Sustain: Knockout healing, Facet of Purpose
DR: Transcendence, Facet of Protection, Consecration</t>
  </si>
  <si>
    <t>Abilities: Cuirass Thundercrash, Feast of Light x6 Glacial Quake
Buff: Facet of Dawn, Facet of Courage, Spirit of the Eternal Warrior
Debuff: Twilight Arsenal</t>
  </si>
  <si>
    <t>Synthoceps/Wormgod grapple melee</t>
  </si>
  <si>
    <t>Sustain: Banner of War
DR: Into the Fray pulses, Thread of Warding</t>
  </si>
  <si>
    <t>Abilties: Banner of War grapple melees
Buff: Banner of War melee/sword increase
Reloads: Thread of Ascent grapple</t>
  </si>
  <si>
    <t>Gyrfalcon's volatile weapons
Omnioculus/Graviton chain invis
Orpheus Rig tether spam</t>
  </si>
  <si>
    <t>Sustain: Vanishing Step, Stylish Executioner, Trapper's Ambush, Echo of Starvation, Echo of Obscurity
DR: Omnioculus</t>
  </si>
  <si>
    <t>Abilities: Feast of Light x6 Shadowshot: Moebius Quiver
Debuff: Shadowshot: Deadfall Tether, Echo of Undermining, Snare Bomb</t>
  </si>
  <si>
    <t>Contraverse vortex grenade spam
Briarbinds ability cycling</t>
  </si>
  <si>
    <t>Sustain: Feed the Void, Echo of Starvation, Echo of Obscurity</t>
  </si>
  <si>
    <t>Abilities: Nova Bomb - Cataclysm
Debuff: Echo of Undermining, Child of the Old Gods</t>
  </si>
  <si>
    <t>Renewal duskfield DR</t>
  </si>
  <si>
    <t>DR: Renewal Frost Armor, Winter's Shroud</t>
  </si>
  <si>
    <t>Abilities: Feast of Light x6 Silence and Squall
Reloads: Whisper of Impetus</t>
  </si>
  <si>
    <t>Shatterdive
Shatter skating</t>
  </si>
  <si>
    <t>Pyrogale Consecration
Synthoceps throwing hammer</t>
  </si>
  <si>
    <t>Sustain: Healing grenade, Sol Invictus, Ember of Empyrean, throwing hammer Cure on hit
DR: Consecration</t>
  </si>
  <si>
    <t>Abilties: Pyrogale Gauntlets Burning Maul
Buff: Ember of Torches</t>
  </si>
  <si>
    <t>Cowl Combination Blow</t>
  </si>
  <si>
    <t>Sustain: Combination Blow healing
DR: Spark of Resistance, Flow State</t>
  </si>
  <si>
    <t>Abilities: Feast of Light x6 Gathering Storm</t>
  </si>
  <si>
    <t>Blink
Ascension</t>
  </si>
  <si>
    <t>Peregrine shield bash</t>
  </si>
  <si>
    <t>Sustain: Bastion, Controlled Demolition, Offensive Bulwark, Echo of Starvation, Echo of Obscurity
DR: Void Overshield, Ward of Dawn</t>
  </si>
  <si>
    <t>Abilities: Twilight Arsenal
Debuff: Echo of Undermining, Twilight Arsenal
Buff: Ward of Dawn</t>
  </si>
  <si>
    <t>Cowl knife trick</t>
  </si>
  <si>
    <t>Sustain: Healing grenade, Ember of Empyrean</t>
  </si>
  <si>
    <t>Abilities: Celestial Nighthawk Golden Gun - Marksman, Feast of Light x6 Blade Barrage
Buff: Ember of Torches</t>
  </si>
  <si>
    <t>Weaver's Trance suspend</t>
  </si>
  <si>
    <t>DR: Thread of Warding, Weavewalk</t>
  </si>
  <si>
    <t>Abilities: Thread of Evolution Needlestorm
Reloads: Thread of Ascent grapple</t>
  </si>
  <si>
    <t>Grapple
Wanderer Tangles</t>
  </si>
  <si>
    <t>Whirling Maelstrom spam</t>
  </si>
  <si>
    <t>Sustain: Threaded Specter deaggro
DR: Thread of Warding, Cyrtarachne's Facade</t>
  </si>
  <si>
    <t>Reloads: Thread of Ascent grapple</t>
  </si>
  <si>
    <t>Vesper of Radius rift spam
Fallen Sunstar ability spam</t>
  </si>
  <si>
    <t>Sustain: Arc Soul rift regen
DR: Spark of Resistance</t>
  </si>
  <si>
    <t>Abilities: Arc Soul rifts</t>
  </si>
  <si>
    <t>Osmiomancy turret spam</t>
  </si>
  <si>
    <t>Sustain: Whisper of Refraction rift regen
DR: Ballidorse rift Frost Armor</t>
  </si>
  <si>
    <t>Reloads: Whisper of Impetus</t>
  </si>
  <si>
    <t>HoIL pulse grenade spam</t>
  </si>
  <si>
    <t>Sustain: Knockout healing
DR: Spark of Resistance</t>
  </si>
  <si>
    <t>Abilities: Cuirass of the Falling Star Thundercrash</t>
  </si>
  <si>
    <t>HoIL crystal spam</t>
  </si>
  <si>
    <t>Sustain: Tectonic Harvest healing
DR: Frost Armor</t>
  </si>
  <si>
    <t>Abilities: Synthoceps Glacial Quake
Reloads: Whisper of Impetus</t>
  </si>
  <si>
    <t>SURVIVABILITY</t>
  </si>
  <si>
    <t>DAMAGE</t>
  </si>
  <si>
    <t>EFFICACY</t>
  </si>
  <si>
    <t>DR</t>
  </si>
  <si>
    <t>Sustain</t>
  </si>
  <si>
    <t>Response</t>
  </si>
  <si>
    <t>Ability</t>
  </si>
  <si>
    <t>Teamplay</t>
  </si>
  <si>
    <t>Notswap</t>
  </si>
  <si>
    <t>highest QoL under notswap</t>
  </si>
  <si>
    <t>best DR stacker + good supers</t>
  </si>
  <si>
    <t>less versatile vs. S picks</t>
  </si>
  <si>
    <t>useful BoW teamplay and solid neutral</t>
  </si>
  <si>
    <t>vulnerable but necessary for team DPS</t>
  </si>
  <si>
    <t>SK teamplay + acceptable neutral and good super</t>
  </si>
  <si>
    <t>excellent response, super worse than BiS</t>
  </si>
  <si>
    <t>surprising mix of sustained super + solid neutral</t>
  </si>
  <si>
    <t>hammer DPS and consistent survival despite no DR</t>
  </si>
  <si>
    <t>vulnerable but helpful for team DPS</t>
  </si>
  <si>
    <t>Moebius DPS outlier but middling otherwise</t>
  </si>
  <si>
    <t>surprising neutral but not very relevant in teams</t>
  </si>
  <si>
    <t>excellent roam but poor supers and teamplay</t>
  </si>
  <si>
    <t>good uptime but weaker splash and bad super</t>
  </si>
  <si>
    <t>consistent sustain but situational super and mediocre roam</t>
  </si>
  <si>
    <t>similar to Behemoth situation with more universal super</t>
  </si>
  <si>
    <t>solid splash but no super boost and lacks DR</t>
  </si>
  <si>
    <t>very little utility outside Ballidorse and mediocre neutral</t>
  </si>
  <si>
    <t>FACTORS</t>
  </si>
  <si>
    <t>Activity</t>
  </si>
  <si>
    <t>Encounter</t>
  </si>
  <si>
    <t>Strats</t>
  </si>
  <si>
    <t>Gating</t>
  </si>
  <si>
    <t>Depth</t>
  </si>
  <si>
    <t>Fun</t>
  </si>
  <si>
    <t>Consistency</t>
  </si>
  <si>
    <t>Desert Perpetual - Epic</t>
  </si>
  <si>
    <t>Agraios</t>
  </si>
  <si>
    <r>
      <rPr>
        <rFont val="Arial"/>
        <color rgb="FF181A1B"/>
        <sz val="9.0"/>
      </rPr>
      <t xml:space="preserve">2-3 fast dunk, </t>
    </r>
    <r>
      <rPr>
        <rFont val="Arial"/>
        <color theme="1"/>
        <sz val="9.0"/>
      </rPr>
      <t>force align, minotaur delay, chronon carryover</t>
    </r>
  </si>
  <si>
    <t>doesn't feel nearly as slow-paced as normal</t>
  </si>
  <si>
    <t>entire team can be involved in different roles based on chronon spread</t>
  </si>
  <si>
    <t>everyone is moving and talking for most of the encounter</t>
  </si>
  <si>
    <t>very few unexpected outcomes besides minotaurs misbehaving</t>
  </si>
  <si>
    <t>the GOAT?</t>
  </si>
  <si>
    <t>Vow of the Disciple</t>
  </si>
  <si>
    <t>Exhibition</t>
  </si>
  <si>
    <t>early 2nd/3rd, early relic trading, skips to 4th</t>
  </si>
  <si>
    <t>not really waiting on anything besides revives</t>
  </si>
  <si>
    <t>lots of practice benefit and rewarded planning</t>
  </si>
  <si>
    <t>relic/hampered encounters aren't for everyone but pretty dynamic</t>
  </si>
  <si>
    <t>annoying slow glyph spawns but solid otherwise</t>
  </si>
  <si>
    <t>one of the best team coordination/routing encounters</t>
  </si>
  <si>
    <t>Bridge</t>
  </si>
  <si>
    <t>lots of unique movement/routing, crossing over bridge gap</t>
  </si>
  <si>
    <t>slow burner buildup at the start, very dynamic and player-gated later</t>
  </si>
  <si>
    <t>most intricate individual role routing in any encounter</t>
  </si>
  <si>
    <t>boring at the beginning, very fun for everyone later on</t>
  </si>
  <si>
    <t>if planned around, Swordbearer spawn RNG is minimal</t>
  </si>
  <si>
    <t>very different in speeds compared to typical LFG experience</t>
  </si>
  <si>
    <t>Substratum</t>
  </si>
  <si>
    <t>skip to 2nd, early 2nd tormentor rooms, close from mid, death warp</t>
  </si>
  <si>
    <t>hand frame, but still feels mostly player-based</t>
  </si>
  <si>
    <t>lot of practice benefit and room mapping</t>
  </si>
  <si>
    <t>all roles pretty involved</t>
  </si>
  <si>
    <t>room RNG has notable impact on hand frame potential</t>
  </si>
  <si>
    <t>very unique encounter space, fun to optimize</t>
  </si>
  <si>
    <t>Verity</t>
  </si>
  <si>
    <t>skip to 5th, duo outside, early out, early dunk, synced dunks</t>
  </si>
  <si>
    <t>some downtime between rounds but almost nothing</t>
  </si>
  <si>
    <t>lots of opportunity for timeloss if not done well</t>
  </si>
  <si>
    <t>very fun to execute regardless of role, not for everyone though</t>
  </si>
  <si>
    <t>some 3-5 RNG</t>
  </si>
  <si>
    <t>some of the coolest and most clever in-encounter strategy</t>
  </si>
  <si>
    <t>Last Wish</t>
  </si>
  <si>
    <t>Shuro Chi</t>
  </si>
  <si>
    <t>preplating, early adds, and 1.5 skips</t>
  </si>
  <si>
    <t>just add spawns and between floors</t>
  </si>
  <si>
    <t>one of the highest practice yield encounters ever</t>
  </si>
  <si>
    <t>fluid and satisfying execution once practiced</t>
  </si>
  <si>
    <t>plates can be annoying</t>
  </si>
  <si>
    <t>famous practice jail but intricate encounter</t>
  </si>
  <si>
    <t>Consecrated Mind</t>
  </si>
  <si>
    <t>full duo, 1 spit, split</t>
  </si>
  <si>
    <t>waiting for boss to come to relay</t>
  </si>
  <si>
    <t>once practiced, hard to lose time</t>
  </si>
  <si>
    <t>almost no downtime for either player</t>
  </si>
  <si>
    <t>relay RNG doesn't matter</t>
  </si>
  <si>
    <t>fun to execute even though generally doesn't affect time</t>
  </si>
  <si>
    <t>King's Fall</t>
  </si>
  <si>
    <t>Daughters</t>
  </si>
  <si>
    <t>dynamic plate floating, semi-unique damage</t>
  </si>
  <si>
    <t>nothing but knight animations</t>
  </si>
  <si>
    <t>situational routing and practice for sure</t>
  </si>
  <si>
    <t>most roles moving a lot</t>
  </si>
  <si>
    <t>not much RNG in strategy</t>
  </si>
  <si>
    <t>pretty interesting setup with alive rejoins off solo skip</t>
  </si>
  <si>
    <t>Root of Nightmares</t>
  </si>
  <si>
    <t>Scission</t>
  </si>
  <si>
    <t>6 man running, skating across floors, early floors</t>
  </si>
  <si>
    <t>all player-based</t>
  </si>
  <si>
    <t>add clear a lot more annoying/sensitive than Cataclysm</t>
  </si>
  <si>
    <t>every role nonstop moving if encounter is fast</t>
  </si>
  <si>
    <t>random back spawns can be annoying but mostly preventable</t>
  </si>
  <si>
    <t>one of the best mechanics encounters</t>
  </si>
  <si>
    <t>Herald</t>
  </si>
  <si>
    <t>resonance carryover, solo start, solo stun</t>
  </si>
  <si>
    <t>gated mostly to one player, but still tight for most roles</t>
  </si>
  <si>
    <t>practice needed but not nearly as detailed as 4 scorers</t>
  </si>
  <si>
    <t>not much downtime and decently engaging mechanics</t>
  </si>
  <si>
    <t>basically no RNG if played correctly</t>
  </si>
  <si>
    <t>one of the best boss encounters in speedrunning</t>
  </si>
  <si>
    <t>Cataclysm</t>
  </si>
  <si>
    <t>staggered base buff entry, 6 man running, preshooting</t>
  </si>
  <si>
    <t>waiting a small amount to avoid softlock but almost unnoticeable</t>
  </si>
  <si>
    <t>benefits from practice but execution isn't too hard</t>
  </si>
  <si>
    <t>all roles constantly moving, no special movement tech</t>
  </si>
  <si>
    <t>6 man means no more 4th set bad RNG situations</t>
  </si>
  <si>
    <t>overall pretty fun encounter that involves everyone equally</t>
  </si>
  <si>
    <t>Relics</t>
  </si>
  <si>
    <t>hit rotation, tombships</t>
  </si>
  <si>
    <t>basically all player-gated</t>
  </si>
  <si>
    <t>benefits a lot from practice and fine-tuning</t>
  </si>
  <si>
    <t>fun for the whole team when it goes right</t>
  </si>
  <si>
    <t>lining inconsistency problems</t>
  </si>
  <si>
    <t>fun to watch and fun to do, just typical launching issues</t>
  </si>
  <si>
    <t>Totems</t>
  </si>
  <si>
    <t>four mid dunkers, two solo resets</t>
  </si>
  <si>
    <t>add clear-gated but lots of room for speedups</t>
  </si>
  <si>
    <t>consistency depends on team</t>
  </si>
  <si>
    <t>fun for like 2.5 people, not much to do for the others</t>
  </si>
  <si>
    <t>basically 100% consistent if done right</t>
  </si>
  <si>
    <t>cool concept and strategy, just not fun for everyone</t>
  </si>
  <si>
    <t>Epoptes</t>
  </si>
  <si>
    <t>basically normal but faster, definitely looks more challenging</t>
  </si>
  <si>
    <t>small animations</t>
  </si>
  <si>
    <t>practice definitely required for consistency's sake</t>
  </si>
  <si>
    <t>way more involved than normal but still not particularly enjoyable</t>
  </si>
  <si>
    <t>takes effort but is consistent if players are</t>
  </si>
  <si>
    <t>if strategy was more unique, would score a lot higher</t>
  </si>
  <si>
    <t>Koregos</t>
  </si>
  <si>
    <t>4-2 wall split, auto banish</t>
  </si>
  <si>
    <t>starting animation, phase transitions</t>
  </si>
  <si>
    <t>learning process for role priority, not crazy once learned</t>
  </si>
  <si>
    <t>most roles pretty dynamic for most of the encounter</t>
  </si>
  <si>
    <t>1st portal RNG loses a bit of time</t>
  </si>
  <si>
    <t>completely different strats from normal, cool in its own way</t>
  </si>
  <si>
    <t>Deep Stone Crypt</t>
  </si>
  <si>
    <t>Desolation</t>
  </si>
  <si>
    <t>half OoB route, slipskating and sparrow skates, craziest raid movement</t>
  </si>
  <si>
    <t>completely gated to player routing</t>
  </si>
  <si>
    <t>huge practice yields in speed and consistency</t>
  </si>
  <si>
    <t>becomes very dull in fulls</t>
  </si>
  <si>
    <t>despite player dependence, still many consistency issues</t>
  </si>
  <si>
    <t>very cool to watch, very tedious to play repeatedly</t>
  </si>
  <si>
    <t>Acquisition</t>
  </si>
  <si>
    <t>spread knight coverage, runner system, skips to 2nd</t>
  </si>
  <si>
    <t>waiting between knights and post-resonate</t>
  </si>
  <si>
    <t>round times mostly player execution</t>
  </si>
  <si>
    <t>mostly dynamic for most roles</t>
  </si>
  <si>
    <t>fairly consistent, some RNG with final rooms</t>
  </si>
  <si>
    <t>pretty solid teamplay encounter</t>
  </si>
  <si>
    <t>Desert Perpetual</t>
  </si>
  <si>
    <t>full team staggered pickups, two trios doing top mechs</t>
  </si>
  <si>
    <t>starting animation</t>
  </si>
  <si>
    <t>not very complicated once initial strategy is learned</t>
  </si>
  <si>
    <t>strat isn't crazy but everyone is participating in a dynamic way</t>
  </si>
  <si>
    <t>small variance in chronon locations but not much</t>
  </si>
  <si>
    <t>solid final encounter, new chronon strategy definitely interesting</t>
  </si>
  <si>
    <t>Evade</t>
  </si>
  <si>
    <t>DSM into early rooms, area denial boxes, skips to 2nd</t>
  </si>
  <si>
    <t>long wait at field but nothing else</t>
  </si>
  <si>
    <t>some practice needed but execution threshold not high</t>
  </si>
  <si>
    <t>constant leapfrogging and well-spread roles</t>
  </si>
  <si>
    <t>tether RNG</t>
  </si>
  <si>
    <t>not crazy interesting but pretty solid starting encounter</t>
  </si>
  <si>
    <t>Abyss</t>
  </si>
  <si>
    <t>backwards routing, single enlighten, spread add clear, tangle movement</t>
  </si>
  <si>
    <t>fixed waiting period during bridge build, otherwise nothing</t>
  </si>
  <si>
    <t>definitely a lot to learn in terms of reacting to preserve RNG</t>
  </si>
  <si>
    <t>some downtime for some roles, also mechanically not the most interesting</t>
  </si>
  <si>
    <t>preserve RNG can impact time drastically depending on strats</t>
  </si>
  <si>
    <t>unique solutions to an otherwise drab experience</t>
  </si>
  <si>
    <t>Repository</t>
  </si>
  <si>
    <t>skip to 5th, skips to 4th, room transitions, instant tormentor kills</t>
  </si>
  <si>
    <t>waiting on plate bounces but doesn't feel slow</t>
  </si>
  <si>
    <t>definitely benefits from practice but skill ceiling from hand frame</t>
  </si>
  <si>
    <t>fairly engaging but not as exciting as some other encounters</t>
  </si>
  <si>
    <t>softlock and hand frame</t>
  </si>
  <si>
    <t>pretty fun overall but softlock holds it back</t>
  </si>
  <si>
    <t>Explicator</t>
  </si>
  <si>
    <r>
      <rPr>
        <rFont val="Arial"/>
        <color rgb="FF181A1B"/>
        <sz val="9.0"/>
      </rPr>
      <t xml:space="preserve">early psions, lining planets, </t>
    </r>
    <r>
      <rPr>
        <rFont val="Arial"/>
        <color theme="1"/>
        <sz val="9.0"/>
      </rPr>
      <t>saving colossus, 2 plate, skip to 4th</t>
    </r>
  </si>
  <si>
    <t>boss animations and planets move</t>
  </si>
  <si>
    <t>medium skill floor but low skill ceiling</t>
  </si>
  <si>
    <t>most roles doing something constantly but not that interesting</t>
  </si>
  <si>
    <t>boss can behave weirdly and planet triangle RNG exists but not bad</t>
  </si>
  <si>
    <t>middle-of-the-road boss encounter, not the worst</t>
  </si>
  <si>
    <t>Nezarec</t>
  </si>
  <si>
    <t>death warp start, 6 man running, midair clone</t>
  </si>
  <si>
    <t>almost nothing besides voice line</t>
  </si>
  <si>
    <t>really not much to practice</t>
  </si>
  <si>
    <t>less interesting than Explicator, mechanics are just standard nodes</t>
  </si>
  <si>
    <t>generally fine if boss is aggro'd correctly</t>
  </si>
  <si>
    <t>very straightforward, not much to love or hate</t>
  </si>
  <si>
    <t>Iatros</t>
  </si>
  <si>
    <t>also pretty similar to normal, execution threshold is higher</t>
  </si>
  <si>
    <t>minotaur dunk phase feels significantly slower than normal</t>
  </si>
  <si>
    <t>similar room for improvement vs. normal once learned</t>
  </si>
  <si>
    <t>more thinking involved than normal</t>
  </si>
  <si>
    <t>100% consistent mechanics, minotaur spawn RNG can lose a bit</t>
  </si>
  <si>
    <t>normal Iatros but with more fun mechanics for involved roles</t>
  </si>
  <si>
    <t>Vault</t>
  </si>
  <si>
    <t>3rd captain early out, skips to Riven</t>
  </si>
  <si>
    <t>lots of waiting but not passive downtime</t>
  </si>
  <si>
    <t>practice needed for rotations and consistent 3rd room</t>
  </si>
  <si>
    <t>not super interesting but engaging enough</t>
  </si>
  <si>
    <t>annoying stair 3rd room</t>
  </si>
  <si>
    <t>pretty straightforward overall, just add clear and boops</t>
  </si>
  <si>
    <t>Queenswalk</t>
  </si>
  <si>
    <t>almost completely out of bounds, crazy hitting spots</t>
  </si>
  <si>
    <t>small waiting period for dunk timeout on first drop</t>
  </si>
  <si>
    <t>launches and super line need practice</t>
  </si>
  <si>
    <t>very annoying to deal with at the end of run</t>
  </si>
  <si>
    <t>very sensitive to connection and other lining issues</t>
  </si>
  <si>
    <t>completely different from standard strats, very cool to watch</t>
  </si>
  <si>
    <t>Summon</t>
  </si>
  <si>
    <t>zero sub, flex roles, early mid, skips</t>
  </si>
  <si>
    <t>lots of waiting between subs</t>
  </si>
  <si>
    <t>most practice needed in the raid but not an insane amount</t>
  </si>
  <si>
    <t>can drag on for sure</t>
  </si>
  <si>
    <t>fairly consistent outside angelic order</t>
  </si>
  <si>
    <t>bulk of the weight in GoS but not that great overall</t>
  </si>
  <si>
    <t>Crypt Security</t>
  </si>
  <si>
    <t>OoB start, op breach, scanless buttons, OoB transition</t>
  </si>
  <si>
    <t>waiting on op then fuse calls</t>
  </si>
  <si>
    <t>besides op, not much variance</t>
  </si>
  <si>
    <t>very short, not very interesting</t>
  </si>
  <si>
    <t>button RNG is still a problem despite fuse RNG not really mattering now</t>
  </si>
  <si>
    <t>alright encounter overall, too fast to complain really</t>
  </si>
  <si>
    <t>fast running setup and one floor</t>
  </si>
  <si>
    <t>not much perceptible waiting given joining timer</t>
  </si>
  <si>
    <t>pick up symbols then don't mess up damage</t>
  </si>
  <si>
    <t>over pretty fast and damage isn't the most boring</t>
  </si>
  <si>
    <t>final symbol run can be annoying but player-based regardless</t>
  </si>
  <si>
    <t>classic fast boss encounter</t>
  </si>
  <si>
    <t>Rhulk</t>
  </si>
  <si>
    <t>full team mechs, glaive deaths</t>
  </si>
  <si>
    <t>beam animations and top dashes</t>
  </si>
  <si>
    <t>not much besides not being slow</t>
  </si>
  <si>
    <t>mechanically sort of unique but execution not exciting</t>
  </si>
  <si>
    <t>fairly consistent overall</t>
  </si>
  <si>
    <t>alright boss encounter, cool mechanics visually but wait times</t>
  </si>
  <si>
    <t>Ir Yût</t>
  </si>
  <si>
    <t>early mid breach, chalice blink, early wizards</t>
  </si>
  <si>
    <t>slow add clear start, wizard movement</t>
  </si>
  <si>
    <t>needs some practice, but strategy isn't that hard</t>
  </si>
  <si>
    <t>strategy not that interesting to execute</t>
  </si>
  <si>
    <t>wizard RNG probably the most annoying thing in raid</t>
  </si>
  <si>
    <t>decent encounter strategy but RNG is annoying</t>
  </si>
  <si>
    <t>slightly more coordinated dunks</t>
  </si>
  <si>
    <t>some slow add spawn animations, boss TP</t>
  </si>
  <si>
    <t>not much to practice besides some timing things</t>
  </si>
  <si>
    <t>roles are relatively even but mechanics aren't that interesting</t>
  </si>
  <si>
    <t>nothing but player input</t>
  </si>
  <si>
    <t>very straightforward encounter strategy</t>
  </si>
  <si>
    <t>basically just normal execution except boosting to pick up every cycle</t>
  </si>
  <si>
    <t>Diastole pulses</t>
  </si>
  <si>
    <t>very minimal room for improvement</t>
  </si>
  <si>
    <t>more of the team involved than Epoptes at least</t>
  </si>
  <si>
    <t>very fast encounter, can't complain too much</t>
  </si>
  <si>
    <t>Kalli</t>
  </si>
  <si>
    <t>skip + instant kill</t>
  </si>
  <si>
    <t>essentially nothing</t>
  </si>
  <si>
    <t>just shooting Nighthawk</t>
  </si>
  <si>
    <t>very short and simple</t>
  </si>
  <si>
    <t>zero variance, only killing or not killing</t>
  </si>
  <si>
    <r>
      <rPr>
        <rFont val="Arial"/>
        <color rgb="FF181A1B"/>
        <sz val="9.0"/>
      </rPr>
      <t>simplest LW encounter by</t>
    </r>
    <r>
      <rPr>
        <rFont val="Arial"/>
        <color theme="1"/>
        <sz val="9.0"/>
      </rPr>
      <t xml:space="preserve"> far</t>
    </r>
  </si>
  <si>
    <t>Sanctified Mind</t>
  </si>
  <si>
    <t>Goldie out of portals, EM, split</t>
  </si>
  <si>
    <t>boss animations and portal reopen</t>
  </si>
  <si>
    <t>not much of a skill ceiling</t>
  </si>
  <si>
    <t>boring to play for the most part</t>
  </si>
  <si>
    <t>ground motes but not much else</t>
  </si>
  <si>
    <t>probably the worst GoS encounter</t>
  </si>
  <si>
    <t>basically just normal execution except 4 eye shooters</t>
  </si>
  <si>
    <t>don't shoot the wrong eye</t>
  </si>
  <si>
    <t>pretty boring for most roles</t>
  </si>
  <si>
    <t>over pretty fast but half the team is doing nothing</t>
  </si>
  <si>
    <t>Riven</t>
  </si>
  <si>
    <t>insta send, fast ascendant, OoB final</t>
  </si>
  <si>
    <t>a lot of unskippable animations</t>
  </si>
  <si>
    <t>very little can go wrong</t>
  </si>
  <si>
    <t>basically a kill and then a couple people fly up</t>
  </si>
  <si>
    <t>no variance</t>
  </si>
  <si>
    <t>iconic setting but boring execution</t>
  </si>
  <si>
    <t>Confluxes</t>
  </si>
  <si>
    <t>Squall breach and OoB add clear, through-door trapping</t>
  </si>
  <si>
    <t>long stretches of timegated segments</t>
  </si>
  <si>
    <t>consistency definitely builds with practice</t>
  </si>
  <si>
    <t>very tedious in fulls</t>
  </si>
  <si>
    <t>mostly consistent with good add clear</t>
  </si>
  <si>
    <t>overly long but still rewards practice at least</t>
  </si>
  <si>
    <t>Barge</t>
  </si>
  <si>
    <t>respawn and optimized pickup routing, skips to 1st</t>
  </si>
  <si>
    <t>extended waiting periods between stops</t>
  </si>
  <si>
    <t>needs a little practice but nothing crazy</t>
  </si>
  <si>
    <t>good for banter but objectively boring</t>
  </si>
  <si>
    <t>pretty consistent overall</t>
  </si>
  <si>
    <t>overhated but still not very engaging</t>
  </si>
  <si>
    <t>Crota</t>
  </si>
  <si>
    <t>early knight CP, one sword</t>
  </si>
  <si>
    <t>chalice fill and add spawns</t>
  </si>
  <si>
    <t>really not much to this encounter</t>
  </si>
  <si>
    <t>lot of sitting around and just clearing adds</t>
  </si>
  <si>
    <t>not much can go wrong, no RNG</t>
  </si>
  <si>
    <t>sword damage is cool but mechanics are nonexistent</t>
  </si>
  <si>
    <t>Witness</t>
  </si>
  <si>
    <t>pre-break</t>
  </si>
  <si>
    <t>not waiting for basically anything</t>
  </si>
  <si>
    <t>kill the boss</t>
  </si>
  <si>
    <t>shoot the boss</t>
  </si>
  <si>
    <t>as close to a "just damage" encounter as you might get</t>
  </si>
  <si>
    <t>Atraks</t>
  </si>
  <si>
    <t>early start and airlock + skip</t>
  </si>
  <si>
    <t>elevators then final stand wait</t>
  </si>
  <si>
    <t>basically just top adds</t>
  </si>
  <si>
    <t>gets boring very quickly</t>
  </si>
  <si>
    <t>fairly consistent besides occasional random late extinct</t>
  </si>
  <si>
    <t>very unfulfilling to play, basically just LFG Atraks</t>
  </si>
  <si>
    <t>Oracles</t>
  </si>
  <si>
    <t>basically just alternating fast shooting with skip</t>
  </si>
  <si>
    <t>huge waiting periods between rounds</t>
  </si>
  <si>
    <t>definitely a practice encounter for consistency</t>
  </si>
  <si>
    <t>not very interesting to watch or play</t>
  </si>
  <si>
    <t>pretty consistent outside of fast break desync</t>
  </si>
  <si>
    <t>a little stressful for two people and boring for everyone else</t>
  </si>
  <si>
    <t>Atheon</t>
  </si>
  <si>
    <t>triple instant break</t>
  </si>
  <si>
    <t>extremely long delay before mechanics</t>
  </si>
  <si>
    <t>almost nothing to practice</t>
  </si>
  <si>
    <t>very boring mechanics and huge downtime</t>
  </si>
  <si>
    <t>zero variance</t>
  </si>
  <si>
    <t>pretty boring boss encounter</t>
  </si>
  <si>
    <t>Golgoroth</t>
  </si>
  <si>
    <t>rejoins, skip to 4th, gaze leaves</t>
  </si>
  <si>
    <t>timelocked add clear segments</t>
  </si>
  <si>
    <t>zero skill expression</t>
  </si>
  <si>
    <t>basically just Warpriest 2</t>
  </si>
  <si>
    <t>same as Warpriest</t>
  </si>
  <si>
    <t>trap doors then shoot boss</t>
  </si>
  <si>
    <t>Descent</t>
  </si>
  <si>
    <t>floater system and revives</t>
  </si>
  <si>
    <t>waiting period surprisingly short if encounter is fast</t>
  </si>
  <si>
    <t>very team-dependent but skill is pretty one-dimensional</t>
  </si>
  <si>
    <t>pretty monotone</t>
  </si>
  <si>
    <t>early adds are random and rounds can feel punishingly slow</t>
  </si>
  <si>
    <t>wrestling with unexplained timeloss</t>
  </si>
  <si>
    <t>Taniks</t>
  </si>
  <si>
    <t>basically just fast add clear and one detain</t>
  </si>
  <si>
    <t>boss move and add spawns</t>
  </si>
  <si>
    <t>very little sklil expression besides making things consistent</t>
  </si>
  <si>
    <t>all roles doing something but not much overall</t>
  </si>
  <si>
    <t>inconsistent early start and teleporting early adds</t>
  </si>
  <si>
    <t>run-of-the-mill boss encounter</t>
  </si>
  <si>
    <t>Templar</t>
  </si>
  <si>
    <t>"instant" start and fast kill</t>
  </si>
  <si>
    <t>waiting for relic super</t>
  </si>
  <si>
    <t>basically no issues</t>
  </si>
  <si>
    <t>boss kill difficulty way down post-relic changes</t>
  </si>
  <si>
    <t>Warpriest</t>
  </si>
  <si>
    <t>basically just do the encounter normally</t>
  </si>
  <si>
    <t>waiting for add spawns but besides that just damage</t>
  </si>
  <si>
    <t>weapon-based damage on a tankier boss, boring add clear though</t>
  </si>
  <si>
    <t>boring but very consistent time-wise</t>
  </si>
  <si>
    <t>Oryx</t>
  </si>
  <si>
    <t>floater system and faster jump routing</t>
  </si>
  <si>
    <t>lots of boss animations</t>
  </si>
  <si>
    <t>pay attention and don't be slow</t>
  </si>
  <si>
    <t>have to be attentive but actual execution is not interesting</t>
  </si>
  <si>
    <t>+10s on final encounter sucks</t>
  </si>
  <si>
    <t>uninteresting final boss for runs, RNG sucks too</t>
  </si>
  <si>
    <t>Morgeth</t>
  </si>
  <si>
    <t>basically just skip and trio</t>
  </si>
  <si>
    <t>entire encounter is timelocked except some easy add clear</t>
  </si>
  <si>
    <t>very little room for improvement</t>
  </si>
  <si>
    <t>boring add clear then instant kill</t>
  </si>
  <si>
    <t>RNG add spawns at start</t>
  </si>
  <si>
    <t>nothingburger bridge between Shuro and Vault</t>
  </si>
  <si>
    <t>Waking Ruins</t>
  </si>
  <si>
    <t>plate lines, multiple skips, solo end</t>
  </si>
  <si>
    <t>completely timegated</t>
  </si>
  <si>
    <t>no variance once plates done</t>
  </si>
  <si>
    <t>extremely boring</t>
  </si>
  <si>
    <t>100% consistent</t>
  </si>
  <si>
    <t>waste of time</t>
  </si>
  <si>
    <t>Hellmouth</t>
  </si>
  <si>
    <t>fast adds, skips to 1st, duo plate, early drop CP</t>
  </si>
  <si>
    <t>waiting for chalice fill</t>
  </si>
  <si>
    <t>very little variance if done properly</t>
  </si>
  <si>
    <t>either add clear or skip then tab out</t>
  </si>
  <si>
    <t>very little variance between runs</t>
  </si>
  <si>
    <t>similar to Waking Ruins but better time-wise</t>
  </si>
  <si>
    <t>Gatekeepers</t>
  </si>
  <si>
    <t>waiting for the encounter to spawn adds</t>
  </si>
  <si>
    <t>perhaps the least optimizable encounter in D2</t>
  </si>
  <si>
    <t>tab out and play Geometry Dash</t>
  </si>
  <si>
    <t>if you lose time you go to hell</t>
  </si>
  <si>
    <t>this is the worst one</t>
  </si>
  <si>
    <t>DATE</t>
  </si>
  <si>
    <r>
      <rPr>
        <rFont val="Arial"/>
        <b/>
        <color theme="1"/>
      </rPr>
      <t xml:space="preserve">Pre-TFS:
</t>
    </r>
    <r>
      <rPr>
        <rFont val="Arial"/>
        <b val="0"/>
        <color theme="1"/>
      </rPr>
      <t>Added fragments and aspects</t>
    </r>
  </si>
  <si>
    <r>
      <rPr>
        <rFont val="Arial"/>
        <b/>
        <color theme="1"/>
      </rPr>
      <t xml:space="preserve">Into the Light (pass 2):
</t>
    </r>
    <r>
      <rPr>
        <rFont val="Arial"/>
        <b val="0"/>
        <color theme="1"/>
      </rPr>
      <t>Onslaught: Added to C
Heal Clip: C to B
Tusk of the Boar: A to S</t>
    </r>
  </si>
  <si>
    <r>
      <rPr>
        <rFont val="Arial"/>
        <b/>
        <color theme="1"/>
      </rPr>
      <t xml:space="preserve">Into the Light:
</t>
    </r>
    <r>
      <rPr>
        <rFont val="Arial"/>
        <b val="0"/>
        <color theme="1"/>
      </rPr>
      <t>Heritage: S to A
Tusk of the Boar: S to A
The Slammer: A to S
Succession (BRAVE version): Added to S
The Mountaintop (BRAVE version): Added to S
Forbearance (BRAVE version): Added to S
Hammerhead (BRAVE version): Added to S
Edge Transit (BRAVE version): Added to S
Falling Guillotine (BRAVE version): Added to S
Indomitability: Added to A
Desperate Measures: Added to B
Magnificent Howl: Added to D
Master of Arms: Added to D
Kinetic add clear hand cannon best-in-slot: Fatebringer to Midnight Coup
Kinetic add clear hand cannon alternative: Warden's Law to Fatebringer
Kinetic add clear pulse rifle best-in-slot: Battle Scar to Blast Furnace
Kinetic add clear scout rifle best-in-slot: Hung Jury SR4 to Hung Jury SR4 (BRAVE version)
Energy add clear SMG alternative: Unforgiven to The Recluse (BRAVE version)
Added trace rifle tab</t>
    </r>
  </si>
  <si>
    <r>
      <rPr>
        <rFont val="Arial"/>
        <b/>
        <color theme="1"/>
      </rPr>
      <t xml:space="preserve">Season 23 mid-season origin traits and perks:
</t>
    </r>
    <r>
      <rPr>
        <rFont val="Arial"/>
        <b val="0"/>
        <color theme="1"/>
      </rPr>
      <t>Dragon's Vengeance: A to B
Crossing Over: Added to D
Heal Clip: E to C
Dual Loader: E to D
Under-Over: E to D
Deconstruct: D to B</t>
    </r>
  </si>
  <si>
    <r>
      <rPr>
        <rFont val="Arial"/>
        <b/>
        <color theme="1"/>
      </rPr>
      <t xml:space="preserve">Season 23 mid-season legendary weapons:
</t>
    </r>
    <r>
      <rPr>
        <rFont val="Arial"/>
        <b val="0"/>
        <color theme="1"/>
      </rPr>
      <t>A Sudden Death: C to B
Crux Termination IV: S to A
Bump in the Night: A to B
Hezen Vengeance: A to B
High-impact/precision rockets shifted up
Tusk of the Boar: Added to S
Wild Style: Added to D
Hullabaloo: Added to B
The Slammer: Added to A
Energy add clear auto rifle alternative: Ros Arago IV to The Summoner
Energy add clear pulse rifle alternative: BxR-55 Battler to Darkest Before
Kinetic add clear SMG best-in-slot: The Showrunner to Multimach CCX
Kinetic add clear SMG alternative: Submission to Adjudicator</t>
    </r>
  </si>
  <si>
    <r>
      <rPr>
        <rFont val="Arial"/>
        <b/>
        <color theme="1"/>
      </rPr>
      <t xml:space="preserve">Season 23 origin traits and perks:
</t>
    </r>
    <r>
      <rPr>
        <rFont val="Arial"/>
        <b val="0"/>
        <color theme="1"/>
      </rPr>
      <t>Reshuffled many origin traits, moved Chill Clip down to B, and added S23 traits/perks.</t>
    </r>
  </si>
  <si>
    <r>
      <rPr>
        <rFont val="Arial"/>
        <b/>
        <color theme="1"/>
      </rPr>
      <t xml:space="preserve">Season 23 exotic weapons:
</t>
    </r>
    <r>
      <rPr>
        <rFont val="Arial"/>
        <b val="0"/>
        <color theme="1"/>
      </rPr>
      <t>Reshuffled all weapons and introduced segmented rating.</t>
    </r>
  </si>
  <si>
    <r>
      <rPr>
        <rFont val="Arial"/>
        <b/>
        <color theme="1"/>
      </rPr>
      <t xml:space="preserve">Season 23 LFRs:
</t>
    </r>
    <r>
      <rPr>
        <rFont val="Arial"/>
        <b val="0"/>
        <color theme="1"/>
      </rPr>
      <t>Stormchaser: A to B
Reed's Regret: A to B
Taipan-4fr: A to B
Doomed Petitioner: Added to S</t>
    </r>
  </si>
  <si>
    <r>
      <rPr>
        <rFont val="Arial"/>
        <b/>
        <color theme="1"/>
      </rPr>
      <t xml:space="preserve">Season 23 rockets:
</t>
    </r>
    <r>
      <rPr>
        <rFont val="Arial"/>
        <b val="0"/>
        <color theme="1"/>
      </rPr>
      <t>Hezen Vengeance: A to B
Heretic: B to C
Sleepless: D to B
Code Duello: B to C
Crowning Duologue: C to D
Crux Termination IV: Added to S</t>
    </r>
  </si>
  <si>
    <r>
      <rPr>
        <rFont val="Arial"/>
        <b/>
        <color theme="1"/>
      </rPr>
      <t xml:space="preserve">Season 23 swords:
</t>
    </r>
    <r>
      <rPr>
        <rFont val="Arial"/>
        <color theme="1"/>
      </rPr>
      <t>Nasreddin: S to A
Night Terror: S to A
Zephyr: S to A
Negative Space: S to A
Death's Razor: A to C
Falling Guillotine: B to C
Half-Truths: B to A
Throne-Cleaver: C to A
Abide the Return: C to B
Geodetic HSm: C to B
Just In Case: C to B
Steel Sybil Z-14: C to B
Temptation's Hook: C to D
Razor's Edge: D to C
Quickfang: D to C
Dragoncult Sickle: Added to D
Chivalric Fire: Added to D</t>
    </r>
  </si>
  <si>
    <r>
      <rPr>
        <rFont val="Arial"/>
        <b/>
        <color theme="1"/>
      </rPr>
      <t xml:space="preserve">Season 23 drum GLs:
</t>
    </r>
    <r>
      <rPr>
        <rFont val="Arial"/>
        <color theme="1"/>
      </rPr>
      <t>Marsilion-C: A to B
Swarm of the Raven: A to B
Interference VI: B to C
Love and Death: B to C
Dimensional Hypotrochoid: B to C
Crowd Pleaser: C to D
Acosmic: Added to B</t>
    </r>
  </si>
  <si>
    <r>
      <rPr>
        <rFont val="Arial"/>
        <b/>
        <color theme="1"/>
      </rPr>
      <t xml:space="preserve">Season 23 LMGs:
</t>
    </r>
    <r>
      <rPr>
        <rFont val="Arial"/>
        <color theme="1"/>
      </rPr>
      <t>Corrective Measure: A to S
Recurrent Impact: C to A
Chain of Command: C to A
Avalanche: A to B
Qua Xaphan V: A to B
Circular Logic: B to C
Archon's Thunder: D to C
Planck's Stride: D to C
Marcato-45: Added to A</t>
    </r>
  </si>
  <si>
    <r>
      <rPr>
        <rFont val="Arial"/>
        <b/>
        <color theme="1"/>
      </rPr>
      <t xml:space="preserve">Season 23 glaives:
</t>
    </r>
    <r>
      <rPr>
        <rFont val="Arial"/>
        <color theme="1"/>
      </rPr>
      <t>Nezarec's Whisper: C to S
Greasy Luck: A to C
Ecliptic Distaff: A to B
Lubrae's Ruin: B to C
The Enigma: A to B
Albedo Wing: Added to A</t>
    </r>
  </si>
  <si>
    <r>
      <rPr>
        <rFont val="Arial"/>
        <b/>
        <color theme="1"/>
      </rPr>
      <t xml:space="preserve">Season 23 breech GLs:
</t>
    </r>
    <r>
      <rPr>
        <rFont val="Arial"/>
        <color theme="1"/>
      </rPr>
      <t>Deafening Whisper: A to B
Harsh Language: A to B
The Militia's Birthright: B to A
Pardon Our Dust: C to B
Empty Vessel: B to C
Prodigal Return: D to C
Salvager's Salvo: B to A
Undercurrent: Added to B</t>
    </r>
  </si>
  <si>
    <r>
      <rPr>
        <rFont val="Arial"/>
        <b/>
        <color theme="1"/>
      </rPr>
      <t xml:space="preserve">Season 23 fusions:
</t>
    </r>
    <r>
      <rPr>
        <rFont val="Arial"/>
        <color theme="1"/>
      </rPr>
      <t>The Eremite: S to B
Loaded Question: S to B
Nox Perennial V: A to B
Midha's Reckoning: A to C
Techeun Force: A to B
Dream Breaker: B to C
Null Composure: B to C
Iota Draconis: B to C
Zealot's Reward: C to D
Trinary System: C to D
Hollow Words: C to D
Snorri FR5: C to D
Timeline's Vertex: C to D
Scatter Signal: Added to A</t>
    </r>
  </si>
  <si>
    <r>
      <rPr>
        <rFont val="Arial"/>
        <b/>
        <color theme="1"/>
      </rPr>
      <t xml:space="preserve">Season 23 snipers:
</t>
    </r>
    <r>
      <rPr>
        <rFont val="Arial"/>
        <color theme="1"/>
      </rPr>
      <t>Distant Tumulus: S to A
Irukandji: S to A
Twilight Oath: B to A
Luna Regolith III: A to C
Volta Bracket: A to C
Last Foray: A to C
Father's Sins: A to B
Albruna-D: B to C
The Long Walk: B to C
Silicon Neuroma: B to C
A Distant Pull: B to C
Frozen Orbit: B to C
Mechabre: B to C
Defiance of Yasmin: C to B
Tranquility: C to B
Persuader: C to D
Widow's Bite: C to D
Naeem's Lance: Added to B</t>
    </r>
  </si>
  <si>
    <r>
      <rPr>
        <rFont val="Arial"/>
        <b/>
        <color theme="1"/>
      </rPr>
      <t xml:space="preserve">Season 23 shotguns:
</t>
    </r>
    <r>
      <rPr>
        <rFont val="Arial"/>
        <color theme="1"/>
      </rPr>
      <t>Heritage: A to S
Xenoclast IV: S to A
Wastelander M5: B to A
Seventh Seraph CQC-12: B to A
Retrofuturist: D to A
Swordbreaker: C to A
Fortissimo-11: A to B
Ragnhild-D: A to B
The Comedian: A to B
A Sudden Death: B to C
Without Remorse: B to A
Riiswalker: C to B
Deadpan Delivery: C to B
Hand in Hand: C to B
No Reprieve: C to D
Wishbringer: C to D
Matador: D to C
Prophet of Doom: D to C
Supercluster: Added to B</t>
    </r>
  </si>
  <si>
    <t>Added Reference tab, added alternatives to Primaries tab.</t>
  </si>
  <si>
    <t>Added S23, Warlord's Ruin, and Dawning weapons, shifted many weapons.</t>
  </si>
  <si>
    <t>Added primaries tab.</t>
  </si>
  <si>
    <t>Added raid encounters (speedrunning).</t>
  </si>
  <si>
    <t>Added Acosmic and Mechabre (2023).</t>
  </si>
  <si>
    <t>Started work on exotic armor.</t>
  </si>
  <si>
    <t>Added subclasses and exotic weapons.</t>
  </si>
  <si>
    <t>Redid all special weapons.</t>
  </si>
  <si>
    <t>Redid LMGs and glaives.</t>
  </si>
  <si>
    <t>Removed scoring system, added rockets and LFRs, added origin traits, redid swords and HGLs.</t>
  </si>
  <si>
    <t>First entry; changelog started. Current version includes all specials, along with LMGs, HGLs, and swords.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</si>
</sst>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yyyy-mm-dd"/>
    <numFmt numFmtId="166" formatCode="#"/>
    <numFmt numFmtId="167" formatCode="0.0"/>
  </numFmts>
  <fonts count="4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</font>
    <font>
      <color rgb="FF181A1B"/>
      <name val="Arial"/>
      <scheme val="minor"/>
    </font>
    <font>
      <b/>
      <sz val="9.0"/>
      <color rgb="FF181A1B"/>
      <name val="Arial"/>
      <scheme val="minor"/>
    </font>
    <font>
      <i/>
      <u/>
      <color rgb="FF181A1B"/>
    </font>
    <font>
      <i/>
      <color rgb="FF181A1B"/>
    </font>
    <font>
      <b/>
      <color rgb="FF181A1B"/>
      <name val="Arial"/>
      <scheme val="minor"/>
    </font>
    <font>
      <b/>
      <i/>
      <sz val="15.0"/>
      <color rgb="FF181A1B"/>
      <name val="Arial"/>
    </font>
    <font>
      <color theme="1"/>
      <name val="Arial"/>
    </font>
    <font>
      <b/>
      <color rgb="FF181A1B"/>
      <name val="Arial"/>
    </font>
    <font>
      <u/>
      <color rgb="FF0000FF"/>
      <name val="Arial"/>
    </font>
    <font>
      <color rgb="FF181A1B"/>
      <name val="Arial"/>
    </font>
    <font>
      <u/>
      <color rgb="FF56A3F1"/>
      <name val="Arial"/>
    </font>
    <font>
      <u/>
      <color rgb="FF56A3F1"/>
      <name val="Arial"/>
    </font>
    <font>
      <u/>
      <color rgb="FF0000FF"/>
      <name val="Arial"/>
    </font>
    <font>
      <b/>
      <color theme="1"/>
      <name val="Arial"/>
    </font>
    <font>
      <sz val="12.0"/>
      <color rgb="FF181A1B"/>
      <name val="Archivo Narrow"/>
    </font>
    <font>
      <b/>
      <color rgb="FF000000"/>
      <name val="Arial"/>
    </font>
    <font>
      <color rgb="FF000000"/>
      <name val="Arial"/>
    </font>
    <font>
      <b/>
      <i/>
      <sz val="15.0"/>
      <color rgb="FF000000"/>
      <name val="Arial"/>
    </font>
    <font>
      <b/>
      <color theme="1"/>
      <name val="Roboto Condensed"/>
    </font>
    <font>
      <b/>
      <color rgb="FFFFFFFF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b/>
      <sz val="11.0"/>
      <color rgb="FFFFFFFF"/>
      <name val="Archivo Narrow"/>
    </font>
    <font>
      <b/>
      <color rgb="FF181A1B"/>
      <name val="Roboto Condensed"/>
    </font>
    <font>
      <b/>
      <color rgb="FFFFFFFF"/>
      <name val="Roboto Condensed"/>
    </font>
    <font>
      <sz val="9.0"/>
      <color rgb="FF181A1B"/>
      <name val="Arial"/>
      <scheme val="minor"/>
    </font>
    <font>
      <sz val="9.0"/>
      <color theme="1"/>
      <name val="Arial"/>
      <scheme val="minor"/>
    </font>
    <font>
      <u/>
      <color rgb="FF56A3F1"/>
      <name val="Arial"/>
      <scheme val="minor"/>
    </font>
    <font>
      <b/>
      <color rgb="FFFFFFFF"/>
      <name val="Archivo Narrow"/>
    </font>
    <font>
      <i/>
      <color rgb="FF181A1B"/>
      <name val="Arial"/>
      <scheme val="minor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sz val="12.0"/>
      <color theme="1"/>
      <name val="Arial"/>
    </font>
    <font/>
    <font>
      <sz val="9.0"/>
      <color theme="1"/>
      <name val="Arial"/>
    </font>
    <font>
      <sz val="9.0"/>
      <color rgb="FF181A1B"/>
      <name val="Arial"/>
    </font>
    <font>
      <sz val="8.0"/>
      <color rgb="FF181A1B"/>
      <name val="Arial"/>
    </font>
    <font>
      <b/>
      <color rgb="FFFFFFFF"/>
      <name val="Arial"/>
    </font>
    <font>
      <i/>
      <sz val="12.0"/>
      <color theme="1"/>
      <name val="Arial"/>
    </font>
  </fonts>
  <fills count="45">
    <fill>
      <patternFill patternType="none"/>
    </fill>
    <fill>
      <patternFill patternType="lightGray"/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1C4587"/>
        <bgColor rgb="FF1C4587"/>
      </patternFill>
    </fill>
    <fill>
      <patternFill patternType="solid">
        <fgColor rgb="FF20124D"/>
        <bgColor rgb="FF20124D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A7C779"/>
        <bgColor rgb="FFA7C779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E67C73"/>
        <bgColor rgb="FFE67C73"/>
      </patternFill>
    </fill>
    <fill>
      <patternFill patternType="solid">
        <fgColor rgb="FFFFD666"/>
        <bgColor rgb="FFFFD666"/>
      </patternFill>
    </fill>
    <fill>
      <patternFill patternType="solid">
        <fgColor rgb="FFF5B06B"/>
        <bgColor rgb="FFF5B06B"/>
      </patternFill>
    </fill>
    <fill>
      <patternFill patternType="solid">
        <fgColor rgb="FF8E7CC3"/>
        <bgColor rgb="FF8E7CC3"/>
      </patternFill>
    </fill>
    <fill>
      <patternFill patternType="solid">
        <fgColor rgb="FF57BB8A"/>
        <bgColor rgb="FF57BB8A"/>
      </patternFill>
    </fill>
    <fill>
      <patternFill patternType="solid">
        <fgColor rgb="FF76A5AF"/>
        <bgColor rgb="FF76A5AF"/>
      </patternFill>
    </fill>
    <fill>
      <patternFill patternType="solid">
        <fgColor rgb="FFA64D79"/>
        <bgColor rgb="FFA64D7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03030"/>
        <bgColor rgb="FF303030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1155CC"/>
        <bgColor rgb="FF1155CC"/>
      </patternFill>
    </fill>
    <fill>
      <patternFill patternType="solid">
        <fgColor rgb="FF0C343D"/>
        <bgColor rgb="FF0C343D"/>
      </patternFill>
    </fill>
    <fill>
      <patternFill patternType="solid">
        <fgColor rgb="FF073763"/>
        <bgColor rgb="FF073763"/>
      </patternFill>
    </fill>
    <fill>
      <patternFill patternType="solid">
        <fgColor theme="1"/>
        <bgColor theme="1"/>
      </patternFill>
    </fill>
    <fill>
      <patternFill patternType="solid">
        <fgColor rgb="FFE593BC"/>
        <bgColor rgb="FFE593BC"/>
      </patternFill>
    </fill>
  </fills>
  <borders count="6">
    <border/>
    <border>
      <right style="medium">
        <color rgb="FF000000"/>
      </right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2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vertical="center"/>
    </xf>
    <xf borderId="0" fillId="9" fontId="5" numFmtId="0" xfId="0" applyAlignment="1" applyFill="1" applyFont="1">
      <alignment horizontal="center" readingOrder="0" vertical="center"/>
    </xf>
    <xf borderId="0" fillId="10" fontId="5" numFmtId="165" xfId="0" applyAlignment="1" applyFill="1" applyFont="1" applyNumberFormat="1">
      <alignment horizontal="center" readingOrder="0" vertical="center"/>
    </xf>
    <xf borderId="0" fillId="11" fontId="5" numFmtId="0" xfId="0" applyAlignment="1" applyFill="1" applyFont="1">
      <alignment horizontal="center" readingOrder="0" vertical="center"/>
    </xf>
    <xf borderId="0" fillId="11" fontId="2" numFmtId="0" xfId="0" applyAlignment="1" applyFont="1">
      <alignment horizontal="center" readingOrder="0" vertical="center"/>
    </xf>
    <xf borderId="0" fillId="12" fontId="5" numFmtId="0" xfId="0" applyAlignment="1" applyFill="1" applyFont="1">
      <alignment horizontal="center" readingOrder="0" vertical="center"/>
    </xf>
    <xf borderId="0" fillId="13" fontId="5" numFmtId="0" xfId="0" applyAlignment="1" applyFill="1" applyFont="1">
      <alignment horizontal="center" readingOrder="0" vertical="center"/>
    </xf>
    <xf borderId="0" fillId="14" fontId="5" numFmtId="0" xfId="0" applyAlignment="1" applyFill="1" applyFont="1">
      <alignment horizontal="center" readingOrder="0" vertical="center"/>
    </xf>
    <xf borderId="0" fillId="10" fontId="5" numFmtId="0" xfId="0" applyAlignment="1" applyFont="1">
      <alignment horizontal="center" readingOrder="0" vertical="center"/>
    </xf>
    <xf borderId="0" fillId="15" fontId="5" numFmtId="0" xfId="0" applyAlignment="1" applyFill="1" applyFont="1">
      <alignment horizontal="center" readingOrder="0" vertical="center"/>
    </xf>
    <xf borderId="0" fillId="16" fontId="5" numFmtId="0" xfId="0" applyAlignment="1" applyFill="1" applyFont="1">
      <alignment horizontal="center" readingOrder="0" vertical="center"/>
    </xf>
    <xf borderId="0" fillId="17" fontId="5" numFmtId="0" xfId="0" applyAlignment="1" applyFill="1" applyFont="1">
      <alignment horizontal="center" readingOrder="0" vertical="center"/>
    </xf>
    <xf borderId="0" fillId="18" fontId="5" numFmtId="0" xfId="0" applyAlignment="1" applyFill="1" applyFont="1">
      <alignment horizontal="center" readingOrder="0" vertical="center"/>
    </xf>
    <xf borderId="0" fillId="10" fontId="6" numFmtId="0" xfId="0" applyAlignment="1" applyFont="1">
      <alignment horizontal="center" readingOrder="0" shrinkToFit="0" vertical="center" wrapText="1"/>
    </xf>
    <xf borderId="0" fillId="10" fontId="7" numFmtId="0" xfId="0" applyAlignment="1" applyFont="1">
      <alignment horizontal="center" readingOrder="0" vertical="center"/>
    </xf>
    <xf borderId="0" fillId="10" fontId="8" numFmtId="0" xfId="0" applyAlignment="1" applyFont="1">
      <alignment horizontal="center" readingOrder="0" vertical="center"/>
    </xf>
    <xf borderId="0" fillId="10" fontId="9" numFmtId="0" xfId="0" applyAlignment="1" applyFont="1">
      <alignment horizontal="center" readingOrder="0" shrinkToFit="0" vertical="center" wrapText="1"/>
    </xf>
    <xf borderId="0" fillId="10" fontId="10" numFmtId="0" xfId="0" applyAlignment="1" applyFont="1">
      <alignment horizontal="center" readingOrder="0" shrinkToFit="0" vertical="bottom" wrapText="0"/>
    </xf>
    <xf borderId="0" fillId="10" fontId="11" numFmtId="0" xfId="0" applyAlignment="1" applyFont="1">
      <alignment vertical="bottom"/>
    </xf>
    <xf borderId="0" fillId="10" fontId="12" numFmtId="0" xfId="0" applyAlignment="1" applyFont="1">
      <alignment horizontal="center" vertical="bottom"/>
    </xf>
    <xf borderId="0" fillId="10" fontId="12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vertical="bottom"/>
    </xf>
    <xf borderId="0" fillId="10" fontId="14" numFmtId="0" xfId="0" applyAlignment="1" applyFont="1">
      <alignment horizontal="center" readingOrder="0" vertical="bottom"/>
    </xf>
    <xf borderId="0" fillId="10" fontId="16" numFmtId="0" xfId="0" applyAlignment="1" applyFont="1">
      <alignment horizontal="center" readingOrder="0" vertical="bottom"/>
    </xf>
    <xf borderId="0" fillId="10" fontId="17" numFmtId="0" xfId="0" applyAlignment="1" applyFont="1">
      <alignment horizontal="center" readingOrder="0" vertical="bottom"/>
    </xf>
    <xf borderId="0" fillId="10" fontId="14" numFmtId="49" xfId="0" applyAlignment="1" applyFont="1" applyNumberFormat="1">
      <alignment horizontal="center" readingOrder="0" vertical="bottom"/>
    </xf>
    <xf borderId="0" fillId="10" fontId="10" numFmtId="0" xfId="0" applyAlignment="1" applyFont="1">
      <alignment horizontal="center" readingOrder="0" shrinkToFit="0" wrapText="0"/>
    </xf>
    <xf borderId="0" fillId="10" fontId="18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10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17" fontId="19" numFmtId="0" xfId="0" applyAlignment="1" applyFont="1">
      <alignment horizontal="center" readingOrder="0" shrinkToFit="0" textRotation="90" vertical="center" wrapText="0"/>
    </xf>
    <xf borderId="0" fillId="0" fontId="14" numFmtId="0" xfId="0" applyAlignment="1" applyFont="1">
      <alignment readingOrder="0" vertical="bottom"/>
    </xf>
    <xf borderId="0" fillId="16" fontId="19" numFmtId="0" xfId="0" applyAlignment="1" applyFont="1">
      <alignment horizontal="center" readingOrder="0" shrinkToFit="0" textRotation="90" vertical="center" wrapText="0"/>
    </xf>
    <xf borderId="0" fillId="10" fontId="11" numFmtId="0" xfId="0" applyFont="1"/>
    <xf borderId="0" fillId="19" fontId="14" numFmtId="0" xfId="0" applyAlignment="1" applyFill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10" fontId="10" numFmtId="0" xfId="0" applyAlignment="1" applyFont="1">
      <alignment horizontal="center" readingOrder="0" shrinkToFit="0" vertical="center" wrapText="0"/>
    </xf>
    <xf borderId="0" fillId="10" fontId="20" numFmtId="0" xfId="0" applyAlignment="1" applyFont="1">
      <alignment horizontal="center" readingOrder="0"/>
    </xf>
    <xf borderId="0" fillId="10" fontId="1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10" fontId="20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center" readingOrder="0"/>
    </xf>
    <xf borderId="0" fillId="20" fontId="21" numFmtId="0" xfId="0" applyAlignment="1" applyFill="1" applyFont="1">
      <alignment horizontal="center" readingOrder="0"/>
    </xf>
    <xf borderId="0" fillId="21" fontId="14" numFmtId="0" xfId="0" applyAlignment="1" applyFill="1" applyFont="1">
      <alignment horizontal="center" readingOrder="0"/>
    </xf>
    <xf borderId="0" fillId="22" fontId="21" numFmtId="0" xfId="0" applyAlignment="1" applyFill="1" applyFont="1">
      <alignment horizontal="center" readingOrder="0"/>
    </xf>
    <xf borderId="0" fillId="23" fontId="21" numFmtId="0" xfId="0" applyAlignment="1" applyFill="1" applyFont="1">
      <alignment horizontal="center" readingOrder="0"/>
    </xf>
    <xf borderId="0" fillId="19" fontId="14" numFmtId="0" xfId="0" applyAlignment="1" applyFont="1">
      <alignment horizontal="center" readingOrder="0"/>
    </xf>
    <xf borderId="0" fillId="22" fontId="14" numFmtId="0" xfId="0" applyAlignment="1" applyFont="1">
      <alignment horizontal="center" readingOrder="0"/>
    </xf>
    <xf borderId="0" fillId="24" fontId="21" numFmtId="0" xfId="0" applyAlignment="1" applyFill="1" applyFont="1">
      <alignment horizontal="center" readingOrder="0"/>
    </xf>
    <xf borderId="0" fillId="23" fontId="14" numFmtId="0" xfId="0" applyAlignment="1" applyFont="1">
      <alignment horizontal="center" readingOrder="0"/>
    </xf>
    <xf borderId="0" fillId="25" fontId="21" numFmtId="0" xfId="0" applyAlignment="1" applyFill="1" applyFont="1">
      <alignment horizontal="center" readingOrder="0"/>
    </xf>
    <xf borderId="0" fillId="26" fontId="21" numFmtId="0" xfId="0" applyAlignment="1" applyFill="1" applyFont="1">
      <alignment horizontal="center" readingOrder="0"/>
    </xf>
    <xf borderId="0" fillId="27" fontId="14" numFmtId="0" xfId="0" applyAlignment="1" applyFill="1" applyFont="1">
      <alignment horizontal="center" readingOrder="0"/>
    </xf>
    <xf borderId="0" fillId="21" fontId="21" numFmtId="0" xfId="0" applyAlignment="1" applyFont="1">
      <alignment horizontal="center" readingOrder="0"/>
    </xf>
    <xf borderId="0" fillId="24" fontId="14" numFmtId="0" xfId="0" applyAlignment="1" applyFont="1">
      <alignment horizontal="center" readingOrder="0"/>
    </xf>
    <xf borderId="0" fillId="19" fontId="21" numFmtId="0" xfId="0" applyAlignment="1" applyFont="1">
      <alignment horizontal="center" readingOrder="0"/>
    </xf>
    <xf borderId="0" fillId="26" fontId="14" numFmtId="0" xfId="0" applyAlignment="1" applyFont="1">
      <alignment horizontal="center" readingOrder="0"/>
    </xf>
    <xf borderId="0" fillId="20" fontId="14" numFmtId="0" xfId="0" applyAlignment="1" applyFont="1">
      <alignment horizontal="center" readingOrder="0"/>
    </xf>
    <xf borderId="0" fillId="27" fontId="21" numFmtId="0" xfId="0" applyAlignment="1" applyFont="1">
      <alignment horizontal="center" readingOrder="0"/>
    </xf>
    <xf borderId="0" fillId="28" fontId="14" numFmtId="0" xfId="0" applyAlignment="1" applyFill="1" applyFont="1">
      <alignment horizontal="center" readingOrder="0"/>
    </xf>
    <xf borderId="0" fillId="28" fontId="21" numFmtId="0" xfId="0" applyAlignment="1" applyFont="1">
      <alignment horizontal="center" readingOrder="0"/>
    </xf>
    <xf borderId="0" fillId="14" fontId="19" numFmtId="0" xfId="0" applyAlignment="1" applyFont="1">
      <alignment horizontal="center" readingOrder="0" shrinkToFit="0" textRotation="90" vertical="center" wrapText="0"/>
    </xf>
    <xf borderId="0" fillId="12" fontId="19" numFmtId="0" xfId="0" applyAlignment="1" applyFont="1">
      <alignment horizontal="center" readingOrder="0" shrinkToFit="0" textRotation="90" vertical="center" wrapText="0"/>
    </xf>
    <xf borderId="0" fillId="10" fontId="14" numFmtId="0" xfId="0" applyAlignment="1" applyFont="1">
      <alignment horizontal="center" readingOrder="0"/>
    </xf>
    <xf borderId="0" fillId="0" fontId="19" numFmtId="0" xfId="0" applyAlignment="1" applyFont="1">
      <alignment horizontal="center" readingOrder="0" shrinkToFit="0" textRotation="90" vertical="center" wrapText="0"/>
    </xf>
    <xf borderId="0" fillId="0" fontId="20" numFmtId="0" xfId="0" applyAlignment="1" applyFont="1">
      <alignment horizontal="center" readingOrder="0"/>
    </xf>
    <xf borderId="0" fillId="10" fontId="22" numFmtId="0" xfId="0" applyAlignment="1" applyFont="1">
      <alignment horizontal="center" readingOrder="0" shrinkToFit="0" vertical="center" wrapText="0"/>
    </xf>
    <xf borderId="0" fillId="10" fontId="14" numFmtId="0" xfId="0" applyAlignment="1" applyFont="1">
      <alignment horizontal="left" readingOrder="0"/>
    </xf>
    <xf borderId="0" fillId="18" fontId="19" numFmtId="0" xfId="0" applyAlignment="1" applyFont="1">
      <alignment horizontal="center" readingOrder="0" shrinkToFit="0" textRotation="90" vertical="center" wrapText="0"/>
    </xf>
    <xf borderId="0" fillId="11" fontId="19" numFmtId="0" xfId="0" applyAlignment="1" applyFont="1">
      <alignment horizontal="center" readingOrder="0" shrinkToFit="0" textRotation="90" vertical="center" wrapText="0"/>
    </xf>
    <xf borderId="0" fillId="10" fontId="14" numFmtId="0" xfId="0" applyAlignment="1" applyFont="1">
      <alignment horizontal="center" readingOrder="0" vertical="center"/>
    </xf>
    <xf borderId="0" fillId="29" fontId="19" numFmtId="0" xfId="0" applyAlignment="1" applyFill="1" applyFont="1">
      <alignment horizontal="center" readingOrder="0" shrinkToFit="0" textRotation="90" vertical="center" wrapText="0"/>
    </xf>
    <xf borderId="0" fillId="30" fontId="19" numFmtId="0" xfId="0" applyAlignment="1" applyFill="1" applyFont="1">
      <alignment horizontal="center" readingOrder="0" shrinkToFit="0" textRotation="90" vertical="center" wrapText="0"/>
    </xf>
    <xf borderId="0" fillId="10" fontId="21" numFmtId="0" xfId="0" applyAlignment="1" applyFont="1">
      <alignment horizontal="center" readingOrder="0"/>
    </xf>
    <xf borderId="0" fillId="13" fontId="19" numFmtId="0" xfId="0" applyAlignment="1" applyFont="1">
      <alignment horizontal="center" readingOrder="0" shrinkToFit="0" textRotation="90" vertical="center" wrapText="0"/>
    </xf>
    <xf borderId="0" fillId="15" fontId="19" numFmtId="0" xfId="0" applyAlignment="1" applyFont="1">
      <alignment horizontal="center" readingOrder="0" shrinkToFit="0" textRotation="90" vertical="center" wrapText="0"/>
    </xf>
    <xf borderId="0" fillId="31" fontId="19" numFmtId="0" xfId="0" applyAlignment="1" applyFill="1" applyFont="1">
      <alignment horizontal="center" readingOrder="0" shrinkToFit="0" textRotation="90" vertical="center" wrapText="0"/>
    </xf>
    <xf borderId="0" fillId="0" fontId="2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/>
    </xf>
    <xf borderId="0" fillId="10" fontId="1" numFmtId="0" xfId="0" applyAlignment="1" applyFont="1">
      <alignment horizontal="center" readingOrder="0" shrinkToFit="0" wrapText="0"/>
    </xf>
    <xf borderId="0" fillId="1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shrinkToFit="0" wrapText="0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0"/>
    </xf>
    <xf borderId="0" fillId="21" fontId="11" numFmtId="0" xfId="0" applyAlignment="1" applyFont="1">
      <alignment horizontal="center" shrinkToFit="0" wrapText="1"/>
    </xf>
    <xf borderId="0" fillId="23" fontId="11" numFmtId="0" xfId="0" applyAlignment="1" applyFont="1">
      <alignment horizontal="center" shrinkToFit="0" wrapText="1"/>
    </xf>
    <xf borderId="0" fillId="25" fontId="11" numFmtId="0" xfId="0" applyAlignment="1" applyFont="1">
      <alignment horizontal="center" shrinkToFit="0" wrapText="1"/>
    </xf>
    <xf borderId="0" fillId="20" fontId="11" numFmtId="0" xfId="0" applyAlignment="1" applyFont="1">
      <alignment horizontal="center" shrinkToFit="0" wrapText="1"/>
    </xf>
    <xf borderId="0" fillId="26" fontId="11" numFmtId="0" xfId="0" applyAlignment="1" applyFont="1">
      <alignment horizontal="center" shrinkToFit="0" wrapText="1"/>
    </xf>
    <xf borderId="0" fillId="24" fontId="11" numFmtId="0" xfId="0" applyAlignment="1" applyFont="1">
      <alignment horizontal="center" shrinkToFit="0" wrapText="1"/>
    </xf>
    <xf borderId="0" fillId="22" fontId="11" numFmtId="0" xfId="0" applyAlignment="1" applyFont="1">
      <alignment horizontal="center" shrinkToFit="0" wrapText="1"/>
    </xf>
    <xf borderId="0" fillId="27" fontId="11" numFmtId="0" xfId="0" applyAlignment="1" applyFont="1">
      <alignment horizontal="center" shrinkToFit="0" wrapText="1"/>
    </xf>
    <xf borderId="0" fillId="19" fontId="11" numFmtId="0" xfId="0" applyAlignment="1" applyFont="1">
      <alignment horizontal="center" shrinkToFit="0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9" numFmtId="1" xfId="0" applyAlignment="1" applyFont="1" applyNumberFormat="1">
      <alignment horizontal="center" readingOrder="0" shrinkToFit="0" vertical="center" wrapText="1"/>
    </xf>
    <xf borderId="0" fillId="0" fontId="9" numFmtId="2" xfId="0" applyAlignment="1" applyFont="1" applyNumberForma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0" fillId="8" fontId="2" numFmtId="0" xfId="0" applyAlignment="1" applyFont="1">
      <alignment horizontal="center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center" readingOrder="0" shrinkToFit="0" vertical="center" wrapText="1"/>
    </xf>
    <xf borderId="0" fillId="0" fontId="2" numFmtId="2" xfId="0" applyAlignment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2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17" fontId="5" numFmtId="0" xfId="0" applyAlignment="1" applyFont="1">
      <alignment horizontal="center" readingOrder="0" shrinkToFit="0" vertical="center" wrapText="1"/>
    </xf>
    <xf borderId="0" fillId="17" fontId="5" numFmtId="166" xfId="0" applyAlignment="1" applyFont="1" applyNumberFormat="1">
      <alignment horizontal="center" readingOrder="0" shrinkToFit="0" vertical="center" wrapText="1"/>
    </xf>
    <xf borderId="0" fillId="17" fontId="5" numFmtId="164" xfId="0" applyAlignment="1" applyFont="1" applyNumberFormat="1">
      <alignment horizontal="center" readingOrder="0" shrinkToFit="0" vertical="center" wrapText="1"/>
    </xf>
    <xf borderId="0" fillId="17" fontId="5" numFmtId="2" xfId="0" applyAlignment="1" applyFont="1" applyNumberFormat="1">
      <alignment horizontal="center" readingOrder="0" shrinkToFit="0" vertical="center" wrapText="1"/>
    </xf>
    <xf borderId="0" fillId="17" fontId="2" numFmtId="164" xfId="0" applyAlignment="1" applyFont="1" applyNumberFormat="1">
      <alignment horizontal="center" readingOrder="0" shrinkToFit="0" vertical="center" wrapText="1"/>
    </xf>
    <xf borderId="0" fillId="17" fontId="2" numFmtId="167" xfId="0" applyAlignment="1" applyFont="1" applyNumberFormat="1">
      <alignment horizontal="center" readingOrder="0" shrinkToFit="0" vertical="center" wrapText="1"/>
    </xf>
    <xf borderId="0" fillId="17" fontId="5" numFmtId="1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32" fontId="2" numFmtId="0" xfId="0" applyAlignment="1" applyFill="1" applyFont="1">
      <alignment readingOrder="0"/>
    </xf>
    <xf borderId="0" fillId="18" fontId="25" numFmtId="0" xfId="0" applyAlignment="1" applyFont="1">
      <alignment horizontal="right" readingOrder="0" vertical="center"/>
    </xf>
    <xf borderId="0" fillId="33" fontId="2" numFmtId="0" xfId="0" applyAlignment="1" applyFill="1" applyFont="1">
      <alignment readingOrder="0"/>
    </xf>
    <xf borderId="0" fillId="34" fontId="11" numFmtId="0" xfId="0" applyAlignment="1" applyFill="1" applyFont="1">
      <alignment vertical="bottom"/>
    </xf>
    <xf borderId="0" fillId="34" fontId="2" numFmtId="0" xfId="0" applyAlignment="1" applyFont="1">
      <alignment readingOrder="0"/>
    </xf>
    <xf borderId="0" fillId="32" fontId="11" numFmtId="0" xfId="0" applyAlignment="1" applyFont="1">
      <alignment vertical="bottom"/>
    </xf>
    <xf borderId="0" fillId="0" fontId="2" numFmtId="0" xfId="0" applyFont="1"/>
    <xf borderId="0" fillId="35" fontId="2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0" fontId="25" numFmtId="0" xfId="0" applyAlignment="1" applyFont="1">
      <alignment horizontal="right" vertical="center"/>
    </xf>
    <xf borderId="0" fillId="0" fontId="26" numFmtId="0" xfId="0" applyAlignment="1" applyFont="1">
      <alignment readingOrder="0"/>
    </xf>
    <xf borderId="0" fillId="10" fontId="2" numFmtId="0" xfId="0" applyFont="1"/>
    <xf borderId="0" fillId="36" fontId="2" numFmtId="0" xfId="0" applyAlignment="1" applyFill="1" applyFont="1">
      <alignment readingOrder="0"/>
    </xf>
    <xf borderId="0" fillId="17" fontId="25" numFmtId="0" xfId="0" applyAlignment="1" applyFont="1">
      <alignment horizontal="right" readingOrder="0" vertical="center"/>
    </xf>
    <xf borderId="0" fillId="0" fontId="26" numFmtId="0" xfId="0" applyAlignment="1" applyFont="1">
      <alignment readingOrder="0"/>
    </xf>
    <xf borderId="0" fillId="14" fontId="25" numFmtId="0" xfId="0" applyAlignment="1" applyFon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7" numFmtId="1" xfId="0" applyAlignment="1" applyFont="1" applyNumberFormat="1">
      <alignment horizontal="center" readingOrder="0" shrinkToFit="0" vertical="center" wrapText="1"/>
    </xf>
    <xf borderId="0" fillId="0" fontId="27" numFmtId="164" xfId="0" applyAlignment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horizontal="left" readingOrder="0" shrinkToFit="0" vertical="center" wrapText="1"/>
    </xf>
    <xf borderId="0" fillId="0" fontId="27" numFmtId="2" xfId="0" applyAlignment="1" applyFont="1" applyNumberFormat="1">
      <alignment horizontal="center" readingOrder="0" shrinkToFit="0" vertical="center" wrapText="1"/>
    </xf>
    <xf borderId="0" fillId="2" fontId="28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center" readingOrder="0" shrinkToFit="0" vertical="center" wrapText="1"/>
    </xf>
    <xf borderId="0" fillId="5" fontId="28" numFmtId="0" xfId="0" applyAlignment="1" applyFont="1">
      <alignment horizontal="center" readingOrder="0" shrinkToFit="0" vertical="center" wrapText="1"/>
    </xf>
    <xf borderId="0" fillId="7" fontId="28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0"/>
    </xf>
    <xf borderId="0" fillId="8" fontId="30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37" fontId="34" numFmtId="49" xfId="0" applyAlignment="1" applyFill="1" applyFont="1" applyNumberFormat="1">
      <alignment horizontal="center" readingOrder="0" shrinkToFit="0" vertical="center" wrapText="0"/>
    </xf>
    <xf borderId="0" fillId="8" fontId="28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center" readingOrder="0" vertical="center"/>
    </xf>
    <xf borderId="0" fillId="38" fontId="36" numFmtId="49" xfId="0" applyAlignment="1" applyFill="1" applyFont="1" applyNumberFormat="1">
      <alignment horizontal="center" readingOrder="0" shrinkToFit="0" vertical="center" wrapText="1"/>
    </xf>
    <xf borderId="2" fillId="39" fontId="36" numFmtId="49" xfId="0" applyAlignment="1" applyBorder="1" applyFill="1" applyFont="1" applyNumberFormat="1">
      <alignment horizontal="center" readingOrder="0" shrinkToFit="0" vertical="center" wrapText="1"/>
    </xf>
    <xf borderId="2" fillId="40" fontId="36" numFmtId="49" xfId="0" applyAlignment="1" applyBorder="1" applyFill="1" applyFont="1" applyNumberFormat="1">
      <alignment horizontal="center" readingOrder="0" shrinkToFit="0" vertical="center" wrapText="1"/>
    </xf>
    <xf borderId="0" fillId="37" fontId="3" numFmtId="49" xfId="0" applyAlignment="1" applyFont="1" applyNumberFormat="1">
      <alignment horizontal="center" readingOrder="0" shrinkToFit="0" vertical="center" wrapText="1"/>
    </xf>
    <xf borderId="0" fillId="2" fontId="3" numFmtId="49" xfId="0" applyAlignment="1" applyFont="1" applyNumberFormat="1">
      <alignment horizontal="center" readingOrder="0" shrinkToFit="0" vertical="center" wrapText="1"/>
    </xf>
    <xf borderId="0" fillId="5" fontId="3" numFmtId="49" xfId="0" applyAlignment="1" applyFont="1" applyNumberFormat="1">
      <alignment horizontal="center" readingOrder="0" shrinkToFit="0" vertical="center" wrapText="1"/>
    </xf>
    <xf borderId="0" fillId="7" fontId="3" numFmtId="49" xfId="0" applyAlignment="1" applyFont="1" applyNumberFormat="1">
      <alignment horizontal="center" readingOrder="0" shrinkToFit="0" vertical="center" wrapText="1"/>
    </xf>
    <xf borderId="2" fillId="37" fontId="3" numFmtId="49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0" fillId="37" fontId="3" numFmtId="49" xfId="0" applyAlignment="1" applyFont="1" applyNumberFormat="1">
      <alignment horizontal="center" readingOrder="0" shrinkToFit="0" vertical="center" wrapText="0"/>
    </xf>
    <xf borderId="0" fillId="2" fontId="3" numFmtId="49" xfId="0" applyAlignment="1" applyFont="1" applyNumberFormat="1">
      <alignment horizontal="center" readingOrder="0" shrinkToFit="0" vertical="center" wrapText="0"/>
    </xf>
    <xf borderId="0" fillId="3" fontId="3" numFmtId="49" xfId="0" applyAlignment="1" applyFont="1" applyNumberFormat="1">
      <alignment horizontal="center" readingOrder="0" shrinkToFit="0" vertical="center" wrapText="0"/>
    </xf>
    <xf borderId="0" fillId="4" fontId="3" numFmtId="49" xfId="0" applyAlignment="1" applyFont="1" applyNumberFormat="1">
      <alignment horizontal="center" readingOrder="0" shrinkToFit="0" vertical="center" wrapText="0"/>
    </xf>
    <xf borderId="0" fillId="5" fontId="3" numFmtId="49" xfId="0" applyAlignment="1" applyFont="1" applyNumberFormat="1">
      <alignment horizontal="center" readingOrder="0" shrinkToFit="0" vertical="center" wrapText="0"/>
    </xf>
    <xf borderId="0" fillId="41" fontId="3" numFmtId="49" xfId="0" applyAlignment="1" applyFill="1" applyFont="1" applyNumberFormat="1">
      <alignment horizontal="center" readingOrder="0" shrinkToFit="0" vertical="center" wrapText="0"/>
    </xf>
    <xf borderId="3" fillId="41" fontId="3" numFmtId="49" xfId="0" applyAlignment="1" applyBorder="1" applyFont="1" applyNumberFormat="1">
      <alignment horizontal="center" readingOrder="0" shrinkToFit="0" vertical="center" wrapText="0"/>
    </xf>
    <xf borderId="4" fillId="6" fontId="3" numFmtId="49" xfId="0" applyAlignment="1" applyBorder="1" applyFont="1" applyNumberForma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6" fontId="3" numFmtId="49" xfId="0" applyAlignment="1" applyFont="1" applyNumberFormat="1">
      <alignment horizontal="center" readingOrder="0" shrinkToFit="0" vertical="center" wrapText="0"/>
    </xf>
    <xf borderId="0" fillId="42" fontId="3" numFmtId="49" xfId="0" applyAlignment="1" applyFill="1" applyFont="1" applyNumberFormat="1">
      <alignment horizontal="center" readingOrder="0" shrinkToFit="0" vertical="center" wrapText="0"/>
    </xf>
    <xf borderId="0" fillId="7" fontId="3" numFmtId="49" xfId="0" applyAlignment="1" applyFont="1" applyNumberFormat="1">
      <alignment horizontal="center" readingOrder="0" shrinkToFit="0" vertical="center" wrapText="0"/>
    </xf>
    <xf borderId="0" fillId="43" fontId="3" numFmtId="49" xfId="0" applyAlignment="1" applyFill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43" fontId="2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8" fontId="2" numFmtId="49" xfId="0" applyAlignment="1" applyFont="1" applyNumberFormat="1">
      <alignment horizontal="center" shrinkToFit="0" vertical="center" wrapText="1"/>
    </xf>
    <xf borderId="1" fillId="17" fontId="5" numFmtId="0" xfId="0" applyAlignment="1" applyBorder="1" applyFont="1">
      <alignment horizontal="center" readingOrder="0" shrinkToFit="0" vertical="center" wrapText="1"/>
    </xf>
    <xf borderId="0" fillId="43" fontId="37" numFmtId="49" xfId="0" applyAlignment="1" applyFont="1" applyNumberFormat="1">
      <alignment horizontal="center" readingOrder="0" shrinkToFit="0" vertical="center" wrapText="1"/>
    </xf>
    <xf borderId="0" fillId="11" fontId="1" numFmtId="49" xfId="0" applyAlignment="1" applyFont="1" applyNumberFormat="1">
      <alignment horizontal="center" readingOrder="0" shrinkToFit="0" vertical="center" wrapText="1"/>
    </xf>
    <xf borderId="0" fillId="11" fontId="9" numFmtId="0" xfId="0" applyAlignment="1" applyFont="1">
      <alignment horizontal="center" readingOrder="0" shrinkToFit="0" vertical="center" wrapText="1"/>
    </xf>
    <xf borderId="0" fillId="11" fontId="9" numFmtId="49" xfId="0" applyAlignment="1" applyFont="1" applyNumberFormat="1">
      <alignment horizontal="center" readingOrder="0" shrinkToFit="0" vertical="center" wrapText="1"/>
    </xf>
    <xf borderId="0" fillId="11" fontId="5" numFmtId="49" xfId="0" applyAlignment="1" applyFont="1" applyNumberFormat="1">
      <alignment horizontal="center" readingOrder="0" shrinkToFit="0" vertical="center" wrapText="1"/>
    </xf>
    <xf borderId="0" fillId="11" fontId="2" numFmtId="49" xfId="0" applyAlignment="1" applyFont="1" applyNumberFormat="1">
      <alignment horizontal="center" readingOrder="0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0" fillId="10" fontId="2" numFmtId="49" xfId="0" applyAlignment="1" applyFont="1" applyNumberForma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quotePrefix="1" borderId="0" fillId="11" fontId="2" numFmtId="49" xfId="0" applyAlignment="1" applyFont="1" applyNumberFormat="1">
      <alignment horizontal="center" readingOrder="0" shrinkToFit="0" vertical="center" wrapText="1"/>
    </xf>
    <xf borderId="0" fillId="44" fontId="2" numFmtId="0" xfId="0" applyAlignment="1" applyFill="1" applyFont="1">
      <alignment horizontal="center" shrinkToFit="0" vertical="center" wrapText="1"/>
    </xf>
    <xf quotePrefix="1" borderId="0" fillId="0" fontId="5" numFmtId="0" xfId="0" applyAlignment="1" applyFont="1">
      <alignment horizontal="center" readingOrder="0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  <xf borderId="0" fillId="44" fontId="1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left" readingOrder="0" shrinkToFit="0" vertical="center" wrapText="0"/>
    </xf>
    <xf borderId="0" fillId="20" fontId="2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5" fillId="0" fontId="38" numFmtId="0" xfId="0" applyAlignment="1" applyBorder="1" applyFont="1">
      <alignment horizontal="center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5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0" fillId="26" fontId="18" numFmtId="0" xfId="0" applyAlignment="1" applyFont="1">
      <alignment horizontal="center" shrinkToFit="0" vertical="center" wrapText="1"/>
    </xf>
    <xf borderId="0" fillId="8" fontId="28" numFmtId="0" xfId="0" applyAlignment="1" applyFont="1">
      <alignment horizontal="center" readingOrder="0" shrinkToFit="0" vertical="center" wrapText="1"/>
    </xf>
    <xf borderId="1" fillId="0" fontId="39" numFmtId="0" xfId="0" applyBorder="1" applyFont="1"/>
    <xf borderId="0" fillId="4" fontId="28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0"/>
    </xf>
    <xf borderId="1" fillId="0" fontId="29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horizontal="center" readingOrder="0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0" fillId="0" fontId="32" numFmtId="49" xfId="0" applyAlignment="1" applyFont="1" applyNumberFormat="1">
      <alignment horizontal="center" readingOrder="0" shrinkToFit="0" vertical="center" wrapText="1"/>
    </xf>
    <xf quotePrefix="1" borderId="0" fillId="0" fontId="40" numFmtId="0" xfId="0" applyAlignment="1" applyFont="1">
      <alignment horizontal="center" readingOrder="0" shrinkToFit="0" vertical="center" wrapText="1"/>
    </xf>
    <xf borderId="0" fillId="37" fontId="43" numFmtId="0" xfId="0" applyAlignment="1" applyFont="1">
      <alignment horizontal="center" readingOrder="0" shrinkToFit="0" vertical="center" wrapText="1"/>
    </xf>
    <xf borderId="0" fillId="11" fontId="44" numFmtId="165" xfId="0" applyAlignment="1" applyFont="1" applyNumberFormat="1">
      <alignment horizontal="center" readingOrder="0" shrinkToFit="0" vertical="center" wrapText="1"/>
    </xf>
    <xf borderId="0" fillId="11" fontId="18" numFmtId="0" xfId="0" applyAlignment="1" applyFont="1">
      <alignment readingOrder="0" shrinkToFit="0" vertical="center" wrapText="1"/>
    </xf>
    <xf borderId="0" fillId="11" fontId="11" numFmtId="0" xfId="0" applyAlignment="1" applyFont="1">
      <alignment readingOrder="0" shrinkToFit="0" vertical="center" wrapText="1"/>
    </xf>
  </cellXfs>
  <cellStyles count="1">
    <cellStyle xfId="0" name="Normal" builtinId="0"/>
  </cellStyles>
  <dxfs count="36"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/>
      <fill>
        <patternFill patternType="solid">
          <fgColor rgb="FFF5B06B"/>
          <bgColor rgb="FFF5B06B"/>
        </patternFill>
      </fill>
      <border/>
    </dxf>
    <dxf>
      <font/>
      <fill>
        <patternFill patternType="solid">
          <fgColor rgb="FFA7C779"/>
          <bgColor rgb="FFA7C779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89FFFF"/>
          <bgColor rgb="FF89FFFF"/>
        </patternFill>
      </fill>
      <border/>
    </dxf>
    <dxf>
      <font>
        <i/>
        <color rgb="FFFFFFFF"/>
      </font>
      <fill>
        <patternFill patternType="solid">
          <fgColor rgb="FF28AAB3"/>
          <bgColor rgb="FF28AAB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2EFF2"/>
          <bgColor rgb="FFC2EFF2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i/>
        <color rgb="FF000000"/>
      </font>
      <fill>
        <patternFill patternType="solid">
          <fgColor rgb="FF28AAB3"/>
          <bgColor rgb="FF28AAB3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i/>
      </font>
      <fill>
        <patternFill patternType="solid">
          <fgColor rgb="FF28AAB3"/>
          <bgColor rgb="FF28AAB3"/>
        </patternFill>
      </fill>
      <border/>
    </dxf>
    <dxf>
      <font>
        <color rgb="FF000000"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BFDF"/>
          <bgColor rgb="FFFFBFDF"/>
        </patternFill>
      </fill>
      <border/>
    </dxf>
    <dxf>
      <font/>
      <fill>
        <patternFill patternType="solid">
          <fgColor rgb="FF5AADF1"/>
          <bgColor rgb="FF5AADF1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03030"/>
          <bgColor rgb="FF30303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hangelog (old)-style">
      <tableStyleElement dxfId="33" type="headerRow"/>
      <tableStyleElement dxfId="34" type="firstRowStripe"/>
      <tableStyleElement dxfId="3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4" Type="http://schemas.openxmlformats.org/officeDocument/2006/relationships/worksheet" Target="worksheets/sheet50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43.jpg"/><Relationship Id="rId20" Type="http://schemas.openxmlformats.org/officeDocument/2006/relationships/image" Target="../media/image42.jpg"/><Relationship Id="rId42" Type="http://schemas.openxmlformats.org/officeDocument/2006/relationships/image" Target="../media/image51.jpg"/><Relationship Id="rId41" Type="http://schemas.openxmlformats.org/officeDocument/2006/relationships/image" Target="../media/image114.jpg"/><Relationship Id="rId22" Type="http://schemas.openxmlformats.org/officeDocument/2006/relationships/image" Target="../media/image7.jpg"/><Relationship Id="rId21" Type="http://schemas.openxmlformats.org/officeDocument/2006/relationships/image" Target="../media/image1.jpg"/><Relationship Id="rId24" Type="http://schemas.openxmlformats.org/officeDocument/2006/relationships/image" Target="../media/image29.jpg"/><Relationship Id="rId23" Type="http://schemas.openxmlformats.org/officeDocument/2006/relationships/image" Target="../media/image6.jpg"/><Relationship Id="rId1" Type="http://schemas.openxmlformats.org/officeDocument/2006/relationships/image" Target="../media/image15.jpg"/><Relationship Id="rId2" Type="http://schemas.openxmlformats.org/officeDocument/2006/relationships/image" Target="../media/image9.jpg"/><Relationship Id="rId3" Type="http://schemas.openxmlformats.org/officeDocument/2006/relationships/image" Target="../media/image8.jpg"/><Relationship Id="rId4" Type="http://schemas.openxmlformats.org/officeDocument/2006/relationships/image" Target="../media/image23.jpg"/><Relationship Id="rId9" Type="http://schemas.openxmlformats.org/officeDocument/2006/relationships/image" Target="../media/image33.jpg"/><Relationship Id="rId26" Type="http://schemas.openxmlformats.org/officeDocument/2006/relationships/image" Target="../media/image31.jpg"/><Relationship Id="rId25" Type="http://schemas.openxmlformats.org/officeDocument/2006/relationships/image" Target="../media/image21.jpg"/><Relationship Id="rId28" Type="http://schemas.openxmlformats.org/officeDocument/2006/relationships/image" Target="../media/image57.jpg"/><Relationship Id="rId27" Type="http://schemas.openxmlformats.org/officeDocument/2006/relationships/image" Target="../media/image24.jpg"/><Relationship Id="rId5" Type="http://schemas.openxmlformats.org/officeDocument/2006/relationships/image" Target="../media/image86.jpg"/><Relationship Id="rId6" Type="http://schemas.openxmlformats.org/officeDocument/2006/relationships/image" Target="../media/image58.jpg"/><Relationship Id="rId29" Type="http://schemas.openxmlformats.org/officeDocument/2006/relationships/image" Target="../media/image113.jpg"/><Relationship Id="rId7" Type="http://schemas.openxmlformats.org/officeDocument/2006/relationships/image" Target="../media/image45.jpg"/><Relationship Id="rId8" Type="http://schemas.openxmlformats.org/officeDocument/2006/relationships/image" Target="../media/image3.jpg"/><Relationship Id="rId31" Type="http://schemas.openxmlformats.org/officeDocument/2006/relationships/image" Target="../media/image13.jpg"/><Relationship Id="rId30" Type="http://schemas.openxmlformats.org/officeDocument/2006/relationships/image" Target="../media/image40.jpg"/><Relationship Id="rId11" Type="http://schemas.openxmlformats.org/officeDocument/2006/relationships/image" Target="../media/image12.jpg"/><Relationship Id="rId33" Type="http://schemas.openxmlformats.org/officeDocument/2006/relationships/image" Target="../media/image34.jpg"/><Relationship Id="rId10" Type="http://schemas.openxmlformats.org/officeDocument/2006/relationships/image" Target="../media/image4.jpg"/><Relationship Id="rId32" Type="http://schemas.openxmlformats.org/officeDocument/2006/relationships/image" Target="../media/image17.jpg"/><Relationship Id="rId13" Type="http://schemas.openxmlformats.org/officeDocument/2006/relationships/image" Target="../media/image27.jpg"/><Relationship Id="rId35" Type="http://schemas.openxmlformats.org/officeDocument/2006/relationships/image" Target="../media/image14.jpg"/><Relationship Id="rId12" Type="http://schemas.openxmlformats.org/officeDocument/2006/relationships/image" Target="../media/image2.jpg"/><Relationship Id="rId34" Type="http://schemas.openxmlformats.org/officeDocument/2006/relationships/image" Target="../media/image38.jpg"/><Relationship Id="rId15" Type="http://schemas.openxmlformats.org/officeDocument/2006/relationships/image" Target="../media/image20.jpg"/><Relationship Id="rId37" Type="http://schemas.openxmlformats.org/officeDocument/2006/relationships/image" Target="../media/image16.jpg"/><Relationship Id="rId14" Type="http://schemas.openxmlformats.org/officeDocument/2006/relationships/image" Target="../media/image5.jpg"/><Relationship Id="rId36" Type="http://schemas.openxmlformats.org/officeDocument/2006/relationships/image" Target="../media/image11.jpg"/><Relationship Id="rId17" Type="http://schemas.openxmlformats.org/officeDocument/2006/relationships/image" Target="../media/image160.jpg"/><Relationship Id="rId39" Type="http://schemas.openxmlformats.org/officeDocument/2006/relationships/image" Target="../media/image28.jpg"/><Relationship Id="rId16" Type="http://schemas.openxmlformats.org/officeDocument/2006/relationships/image" Target="../media/image19.jpg"/><Relationship Id="rId38" Type="http://schemas.openxmlformats.org/officeDocument/2006/relationships/image" Target="../media/image26.jpg"/><Relationship Id="rId19" Type="http://schemas.openxmlformats.org/officeDocument/2006/relationships/image" Target="../media/image10.jpg"/><Relationship Id="rId18" Type="http://schemas.openxmlformats.org/officeDocument/2006/relationships/image" Target="../media/image54.jp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55.jpg"/><Relationship Id="rId22" Type="http://schemas.openxmlformats.org/officeDocument/2006/relationships/image" Target="../media/image50.jpg"/><Relationship Id="rId21" Type="http://schemas.openxmlformats.org/officeDocument/2006/relationships/image" Target="../media/image60.jpg"/><Relationship Id="rId24" Type="http://schemas.openxmlformats.org/officeDocument/2006/relationships/image" Target="../media/image82.jpg"/><Relationship Id="rId23" Type="http://schemas.openxmlformats.org/officeDocument/2006/relationships/image" Target="../media/image137.jpg"/><Relationship Id="rId1" Type="http://schemas.openxmlformats.org/officeDocument/2006/relationships/image" Target="../media/image30.jpg"/><Relationship Id="rId2" Type="http://schemas.openxmlformats.org/officeDocument/2006/relationships/image" Target="../media/image39.jpg"/><Relationship Id="rId3" Type="http://schemas.openxmlformats.org/officeDocument/2006/relationships/image" Target="../media/image18.jpg"/><Relationship Id="rId4" Type="http://schemas.openxmlformats.org/officeDocument/2006/relationships/image" Target="../media/image32.jpg"/><Relationship Id="rId9" Type="http://schemas.openxmlformats.org/officeDocument/2006/relationships/image" Target="../media/image59.jpg"/><Relationship Id="rId26" Type="http://schemas.openxmlformats.org/officeDocument/2006/relationships/image" Target="../media/image105.jpg"/><Relationship Id="rId25" Type="http://schemas.openxmlformats.org/officeDocument/2006/relationships/image" Target="../media/image48.jpg"/><Relationship Id="rId28" Type="http://schemas.openxmlformats.org/officeDocument/2006/relationships/image" Target="../media/image53.jpg"/><Relationship Id="rId27" Type="http://schemas.openxmlformats.org/officeDocument/2006/relationships/image" Target="../media/image68.jpg"/><Relationship Id="rId5" Type="http://schemas.openxmlformats.org/officeDocument/2006/relationships/image" Target="../media/image36.jpg"/><Relationship Id="rId6" Type="http://schemas.openxmlformats.org/officeDocument/2006/relationships/image" Target="../media/image35.jpg"/><Relationship Id="rId29" Type="http://schemas.openxmlformats.org/officeDocument/2006/relationships/image" Target="../media/image66.jpg"/><Relationship Id="rId7" Type="http://schemas.openxmlformats.org/officeDocument/2006/relationships/image" Target="../media/image44.jpg"/><Relationship Id="rId8" Type="http://schemas.openxmlformats.org/officeDocument/2006/relationships/image" Target="../media/image25.jpg"/><Relationship Id="rId31" Type="http://schemas.openxmlformats.org/officeDocument/2006/relationships/image" Target="../media/image72.jpg"/><Relationship Id="rId30" Type="http://schemas.openxmlformats.org/officeDocument/2006/relationships/image" Target="../media/image52.jpg"/><Relationship Id="rId11" Type="http://schemas.openxmlformats.org/officeDocument/2006/relationships/image" Target="../media/image171.jpg"/><Relationship Id="rId33" Type="http://schemas.openxmlformats.org/officeDocument/2006/relationships/image" Target="../media/image80.jpg"/><Relationship Id="rId10" Type="http://schemas.openxmlformats.org/officeDocument/2006/relationships/image" Target="../media/image41.jpg"/><Relationship Id="rId32" Type="http://schemas.openxmlformats.org/officeDocument/2006/relationships/image" Target="../media/image64.jpg"/><Relationship Id="rId13" Type="http://schemas.openxmlformats.org/officeDocument/2006/relationships/image" Target="../media/image62.jpg"/><Relationship Id="rId35" Type="http://schemas.openxmlformats.org/officeDocument/2006/relationships/image" Target="../media/image143.jpg"/><Relationship Id="rId12" Type="http://schemas.openxmlformats.org/officeDocument/2006/relationships/image" Target="../media/image46.jpg"/><Relationship Id="rId34" Type="http://schemas.openxmlformats.org/officeDocument/2006/relationships/image" Target="../media/image56.jpg"/><Relationship Id="rId15" Type="http://schemas.openxmlformats.org/officeDocument/2006/relationships/image" Target="../media/image37.jpg"/><Relationship Id="rId37" Type="http://schemas.openxmlformats.org/officeDocument/2006/relationships/image" Target="../media/image76.jpg"/><Relationship Id="rId14" Type="http://schemas.openxmlformats.org/officeDocument/2006/relationships/image" Target="../media/image47.jpg"/><Relationship Id="rId36" Type="http://schemas.openxmlformats.org/officeDocument/2006/relationships/image" Target="../media/image101.jpg"/><Relationship Id="rId17" Type="http://schemas.openxmlformats.org/officeDocument/2006/relationships/image" Target="../media/image22.jpg"/><Relationship Id="rId39" Type="http://schemas.openxmlformats.org/officeDocument/2006/relationships/image" Target="../media/image67.jpg"/><Relationship Id="rId16" Type="http://schemas.openxmlformats.org/officeDocument/2006/relationships/image" Target="../media/image65.jpg"/><Relationship Id="rId38" Type="http://schemas.openxmlformats.org/officeDocument/2006/relationships/image" Target="../media/image79.jpg"/><Relationship Id="rId19" Type="http://schemas.openxmlformats.org/officeDocument/2006/relationships/image" Target="../media/image71.jpg"/><Relationship Id="rId18" Type="http://schemas.openxmlformats.org/officeDocument/2006/relationships/image" Target="../media/image49.jp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5.jpg"/><Relationship Id="rId22" Type="http://schemas.openxmlformats.org/officeDocument/2006/relationships/image" Target="../media/image176.jpg"/><Relationship Id="rId21" Type="http://schemas.openxmlformats.org/officeDocument/2006/relationships/image" Target="../media/image94.jpg"/><Relationship Id="rId24" Type="http://schemas.openxmlformats.org/officeDocument/2006/relationships/image" Target="../media/image88.jpg"/><Relationship Id="rId23" Type="http://schemas.openxmlformats.org/officeDocument/2006/relationships/image" Target="../media/image92.jpg"/><Relationship Id="rId1" Type="http://schemas.openxmlformats.org/officeDocument/2006/relationships/image" Target="../media/image95.jpg"/><Relationship Id="rId2" Type="http://schemas.openxmlformats.org/officeDocument/2006/relationships/image" Target="../media/image78.jpg"/><Relationship Id="rId3" Type="http://schemas.openxmlformats.org/officeDocument/2006/relationships/image" Target="../media/image61.jpg"/><Relationship Id="rId4" Type="http://schemas.openxmlformats.org/officeDocument/2006/relationships/image" Target="../media/image106.jpg"/><Relationship Id="rId9" Type="http://schemas.openxmlformats.org/officeDocument/2006/relationships/image" Target="../media/image116.jpg"/><Relationship Id="rId26" Type="http://schemas.openxmlformats.org/officeDocument/2006/relationships/image" Target="../media/image81.jpg"/><Relationship Id="rId25" Type="http://schemas.openxmlformats.org/officeDocument/2006/relationships/image" Target="../media/image90.jpg"/><Relationship Id="rId28" Type="http://schemas.openxmlformats.org/officeDocument/2006/relationships/image" Target="../media/image99.jpg"/><Relationship Id="rId27" Type="http://schemas.openxmlformats.org/officeDocument/2006/relationships/image" Target="../media/image91.jpg"/><Relationship Id="rId5" Type="http://schemas.openxmlformats.org/officeDocument/2006/relationships/image" Target="../media/image85.jpg"/><Relationship Id="rId6" Type="http://schemas.openxmlformats.org/officeDocument/2006/relationships/image" Target="../media/image63.jpg"/><Relationship Id="rId29" Type="http://schemas.openxmlformats.org/officeDocument/2006/relationships/image" Target="../media/image104.jpg"/><Relationship Id="rId7" Type="http://schemas.openxmlformats.org/officeDocument/2006/relationships/image" Target="../media/image75.jpg"/><Relationship Id="rId8" Type="http://schemas.openxmlformats.org/officeDocument/2006/relationships/image" Target="../media/image83.jpg"/><Relationship Id="rId11" Type="http://schemas.openxmlformats.org/officeDocument/2006/relationships/image" Target="../media/image122.jpg"/><Relationship Id="rId10" Type="http://schemas.openxmlformats.org/officeDocument/2006/relationships/image" Target="../media/image74.jpg"/><Relationship Id="rId13" Type="http://schemas.openxmlformats.org/officeDocument/2006/relationships/image" Target="../media/image73.jpg"/><Relationship Id="rId12" Type="http://schemas.openxmlformats.org/officeDocument/2006/relationships/image" Target="../media/image69.jpg"/><Relationship Id="rId15" Type="http://schemas.openxmlformats.org/officeDocument/2006/relationships/image" Target="../media/image70.jpg"/><Relationship Id="rId14" Type="http://schemas.openxmlformats.org/officeDocument/2006/relationships/image" Target="../media/image77.jpg"/><Relationship Id="rId17" Type="http://schemas.openxmlformats.org/officeDocument/2006/relationships/image" Target="../media/image98.jpg"/><Relationship Id="rId16" Type="http://schemas.openxmlformats.org/officeDocument/2006/relationships/image" Target="../media/image87.jpg"/><Relationship Id="rId19" Type="http://schemas.openxmlformats.org/officeDocument/2006/relationships/image" Target="../media/image110.jpg"/><Relationship Id="rId18" Type="http://schemas.openxmlformats.org/officeDocument/2006/relationships/image" Target="../media/image8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9.jpg"/><Relationship Id="rId2" Type="http://schemas.openxmlformats.org/officeDocument/2006/relationships/image" Target="../media/image96.jpg"/><Relationship Id="rId3" Type="http://schemas.openxmlformats.org/officeDocument/2006/relationships/image" Target="../media/image145.jpg"/><Relationship Id="rId4" Type="http://schemas.openxmlformats.org/officeDocument/2006/relationships/image" Target="../media/image150.jpg"/><Relationship Id="rId9" Type="http://schemas.openxmlformats.org/officeDocument/2006/relationships/image" Target="../media/image102.jpg"/><Relationship Id="rId5" Type="http://schemas.openxmlformats.org/officeDocument/2006/relationships/image" Target="../media/image93.jpg"/><Relationship Id="rId6" Type="http://schemas.openxmlformats.org/officeDocument/2006/relationships/image" Target="../media/image97.jpg"/><Relationship Id="rId7" Type="http://schemas.openxmlformats.org/officeDocument/2006/relationships/image" Target="../media/image112.jpg"/><Relationship Id="rId8" Type="http://schemas.openxmlformats.org/officeDocument/2006/relationships/image" Target="../media/image103.jpg"/><Relationship Id="rId11" Type="http://schemas.openxmlformats.org/officeDocument/2006/relationships/image" Target="../media/image108.jpg"/><Relationship Id="rId10" Type="http://schemas.openxmlformats.org/officeDocument/2006/relationships/image" Target="../media/image111.jpg"/><Relationship Id="rId13" Type="http://schemas.openxmlformats.org/officeDocument/2006/relationships/image" Target="../media/image100.jpg"/><Relationship Id="rId12" Type="http://schemas.openxmlformats.org/officeDocument/2006/relationships/image" Target="../media/image109.jpg"/><Relationship Id="rId15" Type="http://schemas.openxmlformats.org/officeDocument/2006/relationships/image" Target="../media/image148.jpg"/><Relationship Id="rId14" Type="http://schemas.openxmlformats.org/officeDocument/2006/relationships/image" Target="../media/image107.jpg"/></Relationships>
</file>

<file path=xl/drawings/_rels/drawing8.xml.rels><?xml version="1.0" encoding="UTF-8" standalone="yes"?><Relationships xmlns="http://schemas.openxmlformats.org/package/2006/relationships"><Relationship Id="rId40" Type="http://schemas.openxmlformats.org/officeDocument/2006/relationships/image" Target="../media/image159.jpg"/><Relationship Id="rId42" Type="http://schemas.openxmlformats.org/officeDocument/2006/relationships/image" Target="../media/image140.jpg"/><Relationship Id="rId41" Type="http://schemas.openxmlformats.org/officeDocument/2006/relationships/image" Target="../media/image144.jpg"/><Relationship Id="rId44" Type="http://schemas.openxmlformats.org/officeDocument/2006/relationships/image" Target="../media/image174.jpg"/><Relationship Id="rId43" Type="http://schemas.openxmlformats.org/officeDocument/2006/relationships/image" Target="../media/image141.jpg"/><Relationship Id="rId46" Type="http://schemas.openxmlformats.org/officeDocument/2006/relationships/image" Target="../media/image96.jpg"/><Relationship Id="rId45" Type="http://schemas.openxmlformats.org/officeDocument/2006/relationships/image" Target="../media/image181.jpg"/><Relationship Id="rId1" Type="http://schemas.openxmlformats.org/officeDocument/2006/relationships/image" Target="../media/image147.jpg"/><Relationship Id="rId2" Type="http://schemas.openxmlformats.org/officeDocument/2006/relationships/image" Target="../media/image121.jpg"/><Relationship Id="rId3" Type="http://schemas.openxmlformats.org/officeDocument/2006/relationships/image" Target="../media/image161.jpg"/><Relationship Id="rId4" Type="http://schemas.openxmlformats.org/officeDocument/2006/relationships/image" Target="../media/image129.jpg"/><Relationship Id="rId9" Type="http://schemas.openxmlformats.org/officeDocument/2006/relationships/image" Target="../media/image127.jpg"/><Relationship Id="rId48" Type="http://schemas.openxmlformats.org/officeDocument/2006/relationships/image" Target="../media/image151.jpg"/><Relationship Id="rId47" Type="http://schemas.openxmlformats.org/officeDocument/2006/relationships/image" Target="../media/image64.jpg"/><Relationship Id="rId49" Type="http://schemas.openxmlformats.org/officeDocument/2006/relationships/image" Target="../media/image156.jpg"/><Relationship Id="rId5" Type="http://schemas.openxmlformats.org/officeDocument/2006/relationships/image" Target="../media/image119.jpg"/><Relationship Id="rId6" Type="http://schemas.openxmlformats.org/officeDocument/2006/relationships/image" Target="../media/image154.jpg"/><Relationship Id="rId7" Type="http://schemas.openxmlformats.org/officeDocument/2006/relationships/image" Target="../media/image117.jpg"/><Relationship Id="rId8" Type="http://schemas.openxmlformats.org/officeDocument/2006/relationships/image" Target="../media/image126.jpg"/><Relationship Id="rId31" Type="http://schemas.openxmlformats.org/officeDocument/2006/relationships/image" Target="../media/image142.jpg"/><Relationship Id="rId30" Type="http://schemas.openxmlformats.org/officeDocument/2006/relationships/image" Target="../media/image136.jpg"/><Relationship Id="rId33" Type="http://schemas.openxmlformats.org/officeDocument/2006/relationships/image" Target="../media/image118.jpg"/><Relationship Id="rId32" Type="http://schemas.openxmlformats.org/officeDocument/2006/relationships/image" Target="../media/image138.jpg"/><Relationship Id="rId35" Type="http://schemas.openxmlformats.org/officeDocument/2006/relationships/image" Target="../media/image132.jpg"/><Relationship Id="rId34" Type="http://schemas.openxmlformats.org/officeDocument/2006/relationships/image" Target="../media/image283.jpg"/><Relationship Id="rId37" Type="http://schemas.openxmlformats.org/officeDocument/2006/relationships/image" Target="../media/image158.jpg"/><Relationship Id="rId36" Type="http://schemas.openxmlformats.org/officeDocument/2006/relationships/image" Target="../media/image146.jpg"/><Relationship Id="rId39" Type="http://schemas.openxmlformats.org/officeDocument/2006/relationships/image" Target="../media/image120.jpg"/><Relationship Id="rId38" Type="http://schemas.openxmlformats.org/officeDocument/2006/relationships/image" Target="../media/image165.jpg"/><Relationship Id="rId20" Type="http://schemas.openxmlformats.org/officeDocument/2006/relationships/image" Target="../media/image133.jpg"/><Relationship Id="rId22" Type="http://schemas.openxmlformats.org/officeDocument/2006/relationships/image" Target="../media/image131.jpg"/><Relationship Id="rId21" Type="http://schemas.openxmlformats.org/officeDocument/2006/relationships/image" Target="../media/image135.jpg"/><Relationship Id="rId24" Type="http://schemas.openxmlformats.org/officeDocument/2006/relationships/image" Target="../media/image130.jpg"/><Relationship Id="rId23" Type="http://schemas.openxmlformats.org/officeDocument/2006/relationships/image" Target="../media/image128.jpg"/><Relationship Id="rId26" Type="http://schemas.openxmlformats.org/officeDocument/2006/relationships/image" Target="../media/image192.jpg"/><Relationship Id="rId25" Type="http://schemas.openxmlformats.org/officeDocument/2006/relationships/image" Target="../media/image168.jpg"/><Relationship Id="rId28" Type="http://schemas.openxmlformats.org/officeDocument/2006/relationships/image" Target="../media/image182.jpg"/><Relationship Id="rId27" Type="http://schemas.openxmlformats.org/officeDocument/2006/relationships/image" Target="../media/image123.jpg"/><Relationship Id="rId29" Type="http://schemas.openxmlformats.org/officeDocument/2006/relationships/image" Target="../media/image155.jpg"/><Relationship Id="rId51" Type="http://schemas.openxmlformats.org/officeDocument/2006/relationships/image" Target="../media/image175.jpg"/><Relationship Id="rId50" Type="http://schemas.openxmlformats.org/officeDocument/2006/relationships/image" Target="../media/image226.jpg"/><Relationship Id="rId11" Type="http://schemas.openxmlformats.org/officeDocument/2006/relationships/image" Target="../media/image134.jpg"/><Relationship Id="rId10" Type="http://schemas.openxmlformats.org/officeDocument/2006/relationships/image" Target="../media/image170.jpg"/><Relationship Id="rId13" Type="http://schemas.openxmlformats.org/officeDocument/2006/relationships/image" Target="../media/image149.jpg"/><Relationship Id="rId12" Type="http://schemas.openxmlformats.org/officeDocument/2006/relationships/image" Target="../media/image216.jpg"/><Relationship Id="rId15" Type="http://schemas.openxmlformats.org/officeDocument/2006/relationships/image" Target="../media/image124.jpg"/><Relationship Id="rId14" Type="http://schemas.openxmlformats.org/officeDocument/2006/relationships/image" Target="../media/image166.jpg"/><Relationship Id="rId17" Type="http://schemas.openxmlformats.org/officeDocument/2006/relationships/image" Target="../media/image9.jpg"/><Relationship Id="rId16" Type="http://schemas.openxmlformats.org/officeDocument/2006/relationships/image" Target="../media/image125.jpg"/><Relationship Id="rId19" Type="http://schemas.openxmlformats.org/officeDocument/2006/relationships/image" Target="../media/image139.jpg"/><Relationship Id="rId18" Type="http://schemas.openxmlformats.org/officeDocument/2006/relationships/image" Target="../media/image153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9.png"/><Relationship Id="rId2" Type="http://schemas.openxmlformats.org/officeDocument/2006/relationships/image" Target="../media/image177.png"/><Relationship Id="rId3" Type="http://schemas.openxmlformats.org/officeDocument/2006/relationships/image" Target="../media/image163.png"/><Relationship Id="rId4" Type="http://schemas.openxmlformats.org/officeDocument/2006/relationships/image" Target="../media/image162.png"/><Relationship Id="rId9" Type="http://schemas.openxmlformats.org/officeDocument/2006/relationships/image" Target="../media/image180.png"/><Relationship Id="rId5" Type="http://schemas.openxmlformats.org/officeDocument/2006/relationships/image" Target="../media/image169.png"/><Relationship Id="rId6" Type="http://schemas.openxmlformats.org/officeDocument/2006/relationships/image" Target="../media/image157.png"/><Relationship Id="rId7" Type="http://schemas.openxmlformats.org/officeDocument/2006/relationships/image" Target="../media/image164.png"/><Relationship Id="rId8" Type="http://schemas.openxmlformats.org/officeDocument/2006/relationships/image" Target="../media/image173.png"/><Relationship Id="rId11" Type="http://schemas.openxmlformats.org/officeDocument/2006/relationships/image" Target="../media/image299.png"/><Relationship Id="rId10" Type="http://schemas.openxmlformats.org/officeDocument/2006/relationships/image" Target="../media/image167.png"/><Relationship Id="rId13" Type="http://schemas.openxmlformats.org/officeDocument/2006/relationships/image" Target="../media/image172.png"/><Relationship Id="rId12" Type="http://schemas.openxmlformats.org/officeDocument/2006/relationships/image" Target="../media/image178.png"/><Relationship Id="rId15" Type="http://schemas.openxmlformats.org/officeDocument/2006/relationships/image" Target="../media/image188.png"/><Relationship Id="rId14" Type="http://schemas.openxmlformats.org/officeDocument/2006/relationships/image" Target="../media/image184.png"/><Relationship Id="rId17" Type="http://schemas.openxmlformats.org/officeDocument/2006/relationships/image" Target="../media/image183.png"/><Relationship Id="rId16" Type="http://schemas.openxmlformats.org/officeDocument/2006/relationships/image" Target="../media/image185.png"/><Relationship Id="rId19" Type="http://schemas.openxmlformats.org/officeDocument/2006/relationships/image" Target="../media/image199.png"/><Relationship Id="rId18" Type="http://schemas.openxmlformats.org/officeDocument/2006/relationships/image" Target="../media/image232.png"/></Relationships>
</file>

<file path=xl/drawings/_rels/drawing10.xml.rels><?xml version="1.0" encoding="UTF-8" standalone="yes"?><Relationships xmlns="http://schemas.openxmlformats.org/package/2006/relationships"><Relationship Id="rId40" Type="http://schemas.openxmlformats.org/officeDocument/2006/relationships/image" Target="../media/image228.jpg"/><Relationship Id="rId42" Type="http://schemas.openxmlformats.org/officeDocument/2006/relationships/image" Target="../media/image320.jpg"/><Relationship Id="rId41" Type="http://schemas.openxmlformats.org/officeDocument/2006/relationships/image" Target="../media/image203.png"/><Relationship Id="rId44" Type="http://schemas.openxmlformats.org/officeDocument/2006/relationships/image" Target="../media/image211.jpg"/><Relationship Id="rId43" Type="http://schemas.openxmlformats.org/officeDocument/2006/relationships/image" Target="../media/image218.jpg"/><Relationship Id="rId46" Type="http://schemas.openxmlformats.org/officeDocument/2006/relationships/image" Target="../media/image197.jpg"/><Relationship Id="rId45" Type="http://schemas.openxmlformats.org/officeDocument/2006/relationships/image" Target="../media/image207.jpg"/><Relationship Id="rId107" Type="http://schemas.openxmlformats.org/officeDocument/2006/relationships/image" Target="../media/image278.jpg"/><Relationship Id="rId106" Type="http://schemas.openxmlformats.org/officeDocument/2006/relationships/image" Target="../media/image263.jpg"/><Relationship Id="rId105" Type="http://schemas.openxmlformats.org/officeDocument/2006/relationships/image" Target="../media/image273.jpg"/><Relationship Id="rId104" Type="http://schemas.openxmlformats.org/officeDocument/2006/relationships/image" Target="../media/image259.jpg"/><Relationship Id="rId109" Type="http://schemas.openxmlformats.org/officeDocument/2006/relationships/image" Target="../media/image265.jpg"/><Relationship Id="rId108" Type="http://schemas.openxmlformats.org/officeDocument/2006/relationships/image" Target="../media/image413.jpg"/><Relationship Id="rId48" Type="http://schemas.openxmlformats.org/officeDocument/2006/relationships/image" Target="../media/image214.jpg"/><Relationship Id="rId47" Type="http://schemas.openxmlformats.org/officeDocument/2006/relationships/image" Target="../media/image196.jpg"/><Relationship Id="rId49" Type="http://schemas.openxmlformats.org/officeDocument/2006/relationships/image" Target="../media/image172.png"/><Relationship Id="rId103" Type="http://schemas.openxmlformats.org/officeDocument/2006/relationships/image" Target="../media/image255.jpg"/><Relationship Id="rId102" Type="http://schemas.openxmlformats.org/officeDocument/2006/relationships/image" Target="../media/image185.png"/><Relationship Id="rId101" Type="http://schemas.openxmlformats.org/officeDocument/2006/relationships/image" Target="../media/image252.jpg"/><Relationship Id="rId100" Type="http://schemas.openxmlformats.org/officeDocument/2006/relationships/image" Target="../media/image276.jpg"/><Relationship Id="rId31" Type="http://schemas.openxmlformats.org/officeDocument/2006/relationships/image" Target="../media/image193.jpg"/><Relationship Id="rId30" Type="http://schemas.openxmlformats.org/officeDocument/2006/relationships/image" Target="../media/image299.png"/><Relationship Id="rId33" Type="http://schemas.openxmlformats.org/officeDocument/2006/relationships/image" Target="../media/image64.jpg"/><Relationship Id="rId32" Type="http://schemas.openxmlformats.org/officeDocument/2006/relationships/image" Target="../media/image191.jpg"/><Relationship Id="rId35" Type="http://schemas.openxmlformats.org/officeDocument/2006/relationships/image" Target="../media/image220.jpg"/><Relationship Id="rId34" Type="http://schemas.openxmlformats.org/officeDocument/2006/relationships/image" Target="../media/image173.png"/><Relationship Id="rId37" Type="http://schemas.openxmlformats.org/officeDocument/2006/relationships/image" Target="../media/image213.jpg"/><Relationship Id="rId36" Type="http://schemas.openxmlformats.org/officeDocument/2006/relationships/image" Target="../media/image180.png"/><Relationship Id="rId39" Type="http://schemas.openxmlformats.org/officeDocument/2006/relationships/image" Target="../media/image221.jpg"/><Relationship Id="rId38" Type="http://schemas.openxmlformats.org/officeDocument/2006/relationships/image" Target="../media/image224.jpg"/><Relationship Id="rId20" Type="http://schemas.openxmlformats.org/officeDocument/2006/relationships/image" Target="../media/image202.jpg"/><Relationship Id="rId22" Type="http://schemas.openxmlformats.org/officeDocument/2006/relationships/image" Target="../media/image222.jpg"/><Relationship Id="rId21" Type="http://schemas.openxmlformats.org/officeDocument/2006/relationships/image" Target="../media/image199.png"/><Relationship Id="rId24" Type="http://schemas.openxmlformats.org/officeDocument/2006/relationships/image" Target="../media/image169.png"/><Relationship Id="rId23" Type="http://schemas.openxmlformats.org/officeDocument/2006/relationships/image" Target="../media/image159.jpg"/><Relationship Id="rId26" Type="http://schemas.openxmlformats.org/officeDocument/2006/relationships/image" Target="../media/image33.jpg"/><Relationship Id="rId25" Type="http://schemas.openxmlformats.org/officeDocument/2006/relationships/image" Target="../media/image208.jpg"/><Relationship Id="rId28" Type="http://schemas.openxmlformats.org/officeDocument/2006/relationships/image" Target="../media/image205.jpg"/><Relationship Id="rId27" Type="http://schemas.openxmlformats.org/officeDocument/2006/relationships/image" Target="../media/image157.png"/><Relationship Id="rId29" Type="http://schemas.openxmlformats.org/officeDocument/2006/relationships/image" Target="../media/image283.jpg"/><Relationship Id="rId95" Type="http://schemas.openxmlformats.org/officeDocument/2006/relationships/image" Target="../media/image277.jpg"/><Relationship Id="rId94" Type="http://schemas.openxmlformats.org/officeDocument/2006/relationships/image" Target="../media/image89.jpg"/><Relationship Id="rId97" Type="http://schemas.openxmlformats.org/officeDocument/2006/relationships/image" Target="../media/image109.jpg"/><Relationship Id="rId96" Type="http://schemas.openxmlformats.org/officeDocument/2006/relationships/image" Target="../media/image243.jpg"/><Relationship Id="rId11" Type="http://schemas.openxmlformats.org/officeDocument/2006/relationships/image" Target="../media/image167.png"/><Relationship Id="rId99" Type="http://schemas.openxmlformats.org/officeDocument/2006/relationships/image" Target="../media/image250.jpg"/><Relationship Id="rId10" Type="http://schemas.openxmlformats.org/officeDocument/2006/relationships/image" Target="../media/image201.jpg"/><Relationship Id="rId98" Type="http://schemas.openxmlformats.org/officeDocument/2006/relationships/image" Target="../media/image245.jpg"/><Relationship Id="rId13" Type="http://schemas.openxmlformats.org/officeDocument/2006/relationships/image" Target="../media/image179.png"/><Relationship Id="rId12" Type="http://schemas.openxmlformats.org/officeDocument/2006/relationships/image" Target="../media/image142.jpg"/><Relationship Id="rId91" Type="http://schemas.openxmlformats.org/officeDocument/2006/relationships/image" Target="../media/image275.jpg"/><Relationship Id="rId90" Type="http://schemas.openxmlformats.org/officeDocument/2006/relationships/image" Target="../media/image254.jpg"/><Relationship Id="rId93" Type="http://schemas.openxmlformats.org/officeDocument/2006/relationships/image" Target="../media/image274.jpg"/><Relationship Id="rId92" Type="http://schemas.openxmlformats.org/officeDocument/2006/relationships/image" Target="../media/image139.jpg"/><Relationship Id="rId118" Type="http://schemas.openxmlformats.org/officeDocument/2006/relationships/image" Target="../media/image279.jpg"/><Relationship Id="rId117" Type="http://schemas.openxmlformats.org/officeDocument/2006/relationships/image" Target="../media/image258.jpg"/><Relationship Id="rId116" Type="http://schemas.openxmlformats.org/officeDocument/2006/relationships/image" Target="../media/image270.png"/><Relationship Id="rId115" Type="http://schemas.openxmlformats.org/officeDocument/2006/relationships/image" Target="../media/image272.jpg"/><Relationship Id="rId15" Type="http://schemas.openxmlformats.org/officeDocument/2006/relationships/image" Target="../media/image163.png"/><Relationship Id="rId110" Type="http://schemas.openxmlformats.org/officeDocument/2006/relationships/image" Target="../media/image264.jpg"/><Relationship Id="rId14" Type="http://schemas.openxmlformats.org/officeDocument/2006/relationships/image" Target="../media/image149.jpg"/><Relationship Id="rId17" Type="http://schemas.openxmlformats.org/officeDocument/2006/relationships/image" Target="../media/image164.png"/><Relationship Id="rId16" Type="http://schemas.openxmlformats.org/officeDocument/2006/relationships/image" Target="../media/image104.jpg"/><Relationship Id="rId19" Type="http://schemas.openxmlformats.org/officeDocument/2006/relationships/image" Target="../media/image177.png"/><Relationship Id="rId114" Type="http://schemas.openxmlformats.org/officeDocument/2006/relationships/image" Target="../media/image183.png"/><Relationship Id="rId18" Type="http://schemas.openxmlformats.org/officeDocument/2006/relationships/image" Target="../media/image260.jpg"/><Relationship Id="rId113" Type="http://schemas.openxmlformats.org/officeDocument/2006/relationships/image" Target="../media/image269.jpg"/><Relationship Id="rId112" Type="http://schemas.openxmlformats.org/officeDocument/2006/relationships/image" Target="../media/image232.png"/><Relationship Id="rId111" Type="http://schemas.openxmlformats.org/officeDocument/2006/relationships/image" Target="../media/image271.jpg"/><Relationship Id="rId84" Type="http://schemas.openxmlformats.org/officeDocument/2006/relationships/image" Target="../media/image236.jpg"/><Relationship Id="rId83" Type="http://schemas.openxmlformats.org/officeDocument/2006/relationships/image" Target="../media/image248.jpg"/><Relationship Id="rId86" Type="http://schemas.openxmlformats.org/officeDocument/2006/relationships/image" Target="../media/image256.jpg"/><Relationship Id="rId85" Type="http://schemas.openxmlformats.org/officeDocument/2006/relationships/image" Target="../media/image241.jpg"/><Relationship Id="rId88" Type="http://schemas.openxmlformats.org/officeDocument/2006/relationships/image" Target="../media/image253.jpg"/><Relationship Id="rId87" Type="http://schemas.openxmlformats.org/officeDocument/2006/relationships/image" Target="../media/image267.jpg"/><Relationship Id="rId89" Type="http://schemas.openxmlformats.org/officeDocument/2006/relationships/image" Target="../media/image251.jpg"/><Relationship Id="rId80" Type="http://schemas.openxmlformats.org/officeDocument/2006/relationships/image" Target="../media/image233.jpg"/><Relationship Id="rId82" Type="http://schemas.openxmlformats.org/officeDocument/2006/relationships/image" Target="../media/image394.jpg"/><Relationship Id="rId81" Type="http://schemas.openxmlformats.org/officeDocument/2006/relationships/image" Target="../media/image268.jpg"/><Relationship Id="rId1" Type="http://schemas.openxmlformats.org/officeDocument/2006/relationships/image" Target="../media/image162.png"/><Relationship Id="rId2" Type="http://schemas.openxmlformats.org/officeDocument/2006/relationships/image" Target="../media/image170.jpg"/><Relationship Id="rId3" Type="http://schemas.openxmlformats.org/officeDocument/2006/relationships/image" Target="../media/image200.png"/><Relationship Id="rId4" Type="http://schemas.openxmlformats.org/officeDocument/2006/relationships/image" Target="../media/image308.jpg"/><Relationship Id="rId9" Type="http://schemas.openxmlformats.org/officeDocument/2006/relationships/image" Target="../media/image121.jpg"/><Relationship Id="rId5" Type="http://schemas.openxmlformats.org/officeDocument/2006/relationships/image" Target="../media/image209.png"/><Relationship Id="rId6" Type="http://schemas.openxmlformats.org/officeDocument/2006/relationships/image" Target="../media/image147.jpg"/><Relationship Id="rId7" Type="http://schemas.openxmlformats.org/officeDocument/2006/relationships/image" Target="../media/image204.png"/><Relationship Id="rId8" Type="http://schemas.openxmlformats.org/officeDocument/2006/relationships/image" Target="../media/image130.jpg"/><Relationship Id="rId73" Type="http://schemas.openxmlformats.org/officeDocument/2006/relationships/image" Target="../media/image237.jpg"/><Relationship Id="rId72" Type="http://schemas.openxmlformats.org/officeDocument/2006/relationships/image" Target="../media/image242.jpg"/><Relationship Id="rId75" Type="http://schemas.openxmlformats.org/officeDocument/2006/relationships/image" Target="../media/image262.jpg"/><Relationship Id="rId74" Type="http://schemas.openxmlformats.org/officeDocument/2006/relationships/image" Target="../media/image234.jpg"/><Relationship Id="rId77" Type="http://schemas.openxmlformats.org/officeDocument/2006/relationships/image" Target="../media/image246.jpg"/><Relationship Id="rId76" Type="http://schemas.openxmlformats.org/officeDocument/2006/relationships/image" Target="../media/image247.jpg"/><Relationship Id="rId79" Type="http://schemas.openxmlformats.org/officeDocument/2006/relationships/image" Target="../media/image244.jpg"/><Relationship Id="rId78" Type="http://schemas.openxmlformats.org/officeDocument/2006/relationships/image" Target="../media/image257.jpg"/><Relationship Id="rId71" Type="http://schemas.openxmlformats.org/officeDocument/2006/relationships/image" Target="../media/image238.jpg"/><Relationship Id="rId70" Type="http://schemas.openxmlformats.org/officeDocument/2006/relationships/image" Target="../media/image385.jpg"/><Relationship Id="rId62" Type="http://schemas.openxmlformats.org/officeDocument/2006/relationships/image" Target="../media/image223.jpg"/><Relationship Id="rId61" Type="http://schemas.openxmlformats.org/officeDocument/2006/relationships/image" Target="../media/image158.jpg"/><Relationship Id="rId64" Type="http://schemas.openxmlformats.org/officeDocument/2006/relationships/image" Target="../media/image230.jpg"/><Relationship Id="rId63" Type="http://schemas.openxmlformats.org/officeDocument/2006/relationships/image" Target="../media/image184.png"/><Relationship Id="rId66" Type="http://schemas.openxmlformats.org/officeDocument/2006/relationships/image" Target="../media/image249.jpg"/><Relationship Id="rId65" Type="http://schemas.openxmlformats.org/officeDocument/2006/relationships/image" Target="../media/image225.jpg"/><Relationship Id="rId68" Type="http://schemas.openxmlformats.org/officeDocument/2006/relationships/image" Target="../media/image235.jpg"/><Relationship Id="rId67" Type="http://schemas.openxmlformats.org/officeDocument/2006/relationships/image" Target="../media/image239.jpg"/><Relationship Id="rId60" Type="http://schemas.openxmlformats.org/officeDocument/2006/relationships/image" Target="../media/image63.jpg"/><Relationship Id="rId69" Type="http://schemas.openxmlformats.org/officeDocument/2006/relationships/image" Target="../media/image266.jpg"/><Relationship Id="rId51" Type="http://schemas.openxmlformats.org/officeDocument/2006/relationships/image" Target="../media/image178.png"/><Relationship Id="rId50" Type="http://schemas.openxmlformats.org/officeDocument/2006/relationships/image" Target="../media/image212.jpg"/><Relationship Id="rId53" Type="http://schemas.openxmlformats.org/officeDocument/2006/relationships/image" Target="../media/image206.png"/><Relationship Id="rId52" Type="http://schemas.openxmlformats.org/officeDocument/2006/relationships/image" Target="../media/image227.jpg"/><Relationship Id="rId55" Type="http://schemas.openxmlformats.org/officeDocument/2006/relationships/image" Target="../media/image261.jpg"/><Relationship Id="rId54" Type="http://schemas.openxmlformats.org/officeDocument/2006/relationships/image" Target="../media/image210.jpg"/><Relationship Id="rId57" Type="http://schemas.openxmlformats.org/officeDocument/2006/relationships/image" Target="../media/image219.png"/><Relationship Id="rId56" Type="http://schemas.openxmlformats.org/officeDocument/2006/relationships/image" Target="../media/image380.jpg"/><Relationship Id="rId59" Type="http://schemas.openxmlformats.org/officeDocument/2006/relationships/image" Target="../media/image229.jpg"/><Relationship Id="rId58" Type="http://schemas.openxmlformats.org/officeDocument/2006/relationships/image" Target="../media/image217.jpg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7.png"/><Relationship Id="rId10" Type="http://schemas.openxmlformats.org/officeDocument/2006/relationships/image" Target="../media/image180.png"/><Relationship Id="rId13" Type="http://schemas.openxmlformats.org/officeDocument/2006/relationships/image" Target="../media/image232.png"/><Relationship Id="rId12" Type="http://schemas.openxmlformats.org/officeDocument/2006/relationships/image" Target="../media/image183.png"/><Relationship Id="rId15" Type="http://schemas.openxmlformats.org/officeDocument/2006/relationships/image" Target="../media/image188.png"/><Relationship Id="rId14" Type="http://schemas.openxmlformats.org/officeDocument/2006/relationships/image" Target="../media/image299.png"/><Relationship Id="rId17" Type="http://schemas.openxmlformats.org/officeDocument/2006/relationships/image" Target="../media/image169.png"/><Relationship Id="rId16" Type="http://schemas.openxmlformats.org/officeDocument/2006/relationships/image" Target="../media/image179.png"/><Relationship Id="rId19" Type="http://schemas.openxmlformats.org/officeDocument/2006/relationships/image" Target="../media/image162.png"/><Relationship Id="rId18" Type="http://schemas.openxmlformats.org/officeDocument/2006/relationships/image" Target="../media/image199.png"/><Relationship Id="rId1" Type="http://schemas.openxmlformats.org/officeDocument/2006/relationships/image" Target="../media/image157.png"/><Relationship Id="rId2" Type="http://schemas.openxmlformats.org/officeDocument/2006/relationships/image" Target="../media/image184.png"/><Relationship Id="rId3" Type="http://schemas.openxmlformats.org/officeDocument/2006/relationships/image" Target="../media/image172.png"/><Relationship Id="rId4" Type="http://schemas.openxmlformats.org/officeDocument/2006/relationships/image" Target="../media/image177.png"/><Relationship Id="rId9" Type="http://schemas.openxmlformats.org/officeDocument/2006/relationships/image" Target="../media/image185.png"/><Relationship Id="rId5" Type="http://schemas.openxmlformats.org/officeDocument/2006/relationships/image" Target="../media/image163.png"/><Relationship Id="rId6" Type="http://schemas.openxmlformats.org/officeDocument/2006/relationships/image" Target="../media/image164.png"/><Relationship Id="rId7" Type="http://schemas.openxmlformats.org/officeDocument/2006/relationships/image" Target="../media/image173.png"/><Relationship Id="rId8" Type="http://schemas.openxmlformats.org/officeDocument/2006/relationships/image" Target="../media/image178.png"/></Relationships>
</file>

<file path=xl/drawings/_rels/drawing13.xml.rels><?xml version="1.0" encoding="UTF-8" standalone="yes"?><Relationships xmlns="http://schemas.openxmlformats.org/package/2006/relationships"><Relationship Id="rId40" Type="http://schemas.openxmlformats.org/officeDocument/2006/relationships/image" Target="../media/image265.jpg"/><Relationship Id="rId42" Type="http://schemas.openxmlformats.org/officeDocument/2006/relationships/image" Target="../media/image458.jpg"/><Relationship Id="rId41" Type="http://schemas.openxmlformats.org/officeDocument/2006/relationships/image" Target="../media/image339.jpg"/><Relationship Id="rId44" Type="http://schemas.openxmlformats.org/officeDocument/2006/relationships/image" Target="../media/image313.jpg"/><Relationship Id="rId43" Type="http://schemas.openxmlformats.org/officeDocument/2006/relationships/image" Target="../media/image319.jpg"/><Relationship Id="rId46" Type="http://schemas.openxmlformats.org/officeDocument/2006/relationships/image" Target="../media/image324.jpg"/><Relationship Id="rId45" Type="http://schemas.openxmlformats.org/officeDocument/2006/relationships/image" Target="../media/image394.jpg"/><Relationship Id="rId48" Type="http://schemas.openxmlformats.org/officeDocument/2006/relationships/image" Target="../media/image323.jpg"/><Relationship Id="rId47" Type="http://schemas.openxmlformats.org/officeDocument/2006/relationships/image" Target="../media/image318.jpg"/><Relationship Id="rId49" Type="http://schemas.openxmlformats.org/officeDocument/2006/relationships/image" Target="../media/image317.jpg"/><Relationship Id="rId31" Type="http://schemas.openxmlformats.org/officeDocument/2006/relationships/image" Target="../media/image303.jpg"/><Relationship Id="rId30" Type="http://schemas.openxmlformats.org/officeDocument/2006/relationships/image" Target="../media/image520.jpg"/><Relationship Id="rId33" Type="http://schemas.openxmlformats.org/officeDocument/2006/relationships/image" Target="../media/image300.jpg"/><Relationship Id="rId32" Type="http://schemas.openxmlformats.org/officeDocument/2006/relationships/image" Target="../media/image291.jpg"/><Relationship Id="rId35" Type="http://schemas.openxmlformats.org/officeDocument/2006/relationships/image" Target="../media/image309.jpg"/><Relationship Id="rId34" Type="http://schemas.openxmlformats.org/officeDocument/2006/relationships/image" Target="../media/image314.jpg"/><Relationship Id="rId37" Type="http://schemas.openxmlformats.org/officeDocument/2006/relationships/image" Target="../media/image304.jpg"/><Relationship Id="rId36" Type="http://schemas.openxmlformats.org/officeDocument/2006/relationships/image" Target="../media/image312.jpg"/><Relationship Id="rId39" Type="http://schemas.openxmlformats.org/officeDocument/2006/relationships/image" Target="../media/image306.jpg"/><Relationship Id="rId38" Type="http://schemas.openxmlformats.org/officeDocument/2006/relationships/image" Target="../media/image336.jpg"/><Relationship Id="rId20" Type="http://schemas.openxmlformats.org/officeDocument/2006/relationships/image" Target="../media/image280.jpg"/><Relationship Id="rId22" Type="http://schemas.openxmlformats.org/officeDocument/2006/relationships/image" Target="../media/image288.jpg"/><Relationship Id="rId21" Type="http://schemas.openxmlformats.org/officeDocument/2006/relationships/image" Target="../media/image275.jpg"/><Relationship Id="rId24" Type="http://schemas.openxmlformats.org/officeDocument/2006/relationships/image" Target="../media/image328.jpg"/><Relationship Id="rId23" Type="http://schemas.openxmlformats.org/officeDocument/2006/relationships/image" Target="../media/image289.jpg"/><Relationship Id="rId26" Type="http://schemas.openxmlformats.org/officeDocument/2006/relationships/image" Target="../media/image293.jpg"/><Relationship Id="rId25" Type="http://schemas.openxmlformats.org/officeDocument/2006/relationships/image" Target="../media/image287.jpg"/><Relationship Id="rId28" Type="http://schemas.openxmlformats.org/officeDocument/2006/relationships/image" Target="../media/image292.jpg"/><Relationship Id="rId27" Type="http://schemas.openxmlformats.org/officeDocument/2006/relationships/image" Target="../media/image297.jpg"/><Relationship Id="rId29" Type="http://schemas.openxmlformats.org/officeDocument/2006/relationships/image" Target="../media/image311.jpg"/><Relationship Id="rId11" Type="http://schemas.openxmlformats.org/officeDocument/2006/relationships/image" Target="../media/image241.jpg"/><Relationship Id="rId10" Type="http://schemas.openxmlformats.org/officeDocument/2006/relationships/image" Target="../media/image281.jpg"/><Relationship Id="rId13" Type="http://schemas.openxmlformats.org/officeDocument/2006/relationships/image" Target="../media/image282.jpg"/><Relationship Id="rId12" Type="http://schemas.openxmlformats.org/officeDocument/2006/relationships/image" Target="../media/image310.jpg"/><Relationship Id="rId15" Type="http://schemas.openxmlformats.org/officeDocument/2006/relationships/image" Target="../media/image290.jpg"/><Relationship Id="rId14" Type="http://schemas.openxmlformats.org/officeDocument/2006/relationships/image" Target="../media/image301.jpg"/><Relationship Id="rId17" Type="http://schemas.openxmlformats.org/officeDocument/2006/relationships/image" Target="../media/image463.jpg"/><Relationship Id="rId16" Type="http://schemas.openxmlformats.org/officeDocument/2006/relationships/image" Target="../media/image298.jpg"/><Relationship Id="rId19" Type="http://schemas.openxmlformats.org/officeDocument/2006/relationships/image" Target="../media/image286.jpg"/><Relationship Id="rId18" Type="http://schemas.openxmlformats.org/officeDocument/2006/relationships/image" Target="../media/image302.jpg"/><Relationship Id="rId1" Type="http://schemas.openxmlformats.org/officeDocument/2006/relationships/image" Target="../media/image142.jpg"/><Relationship Id="rId2" Type="http://schemas.openxmlformats.org/officeDocument/2006/relationships/image" Target="../media/image295.jpg"/><Relationship Id="rId3" Type="http://schemas.openxmlformats.org/officeDocument/2006/relationships/image" Target="../media/image326.jpg"/><Relationship Id="rId4" Type="http://schemas.openxmlformats.org/officeDocument/2006/relationships/image" Target="../media/image294.jpg"/><Relationship Id="rId9" Type="http://schemas.openxmlformats.org/officeDocument/2006/relationships/image" Target="../media/image285.jpg"/><Relationship Id="rId5" Type="http://schemas.openxmlformats.org/officeDocument/2006/relationships/image" Target="../media/image414.jpg"/><Relationship Id="rId6" Type="http://schemas.openxmlformats.org/officeDocument/2006/relationships/image" Target="../media/image307.jpg"/><Relationship Id="rId7" Type="http://schemas.openxmlformats.org/officeDocument/2006/relationships/image" Target="../media/image321.jpg"/><Relationship Id="rId8" Type="http://schemas.openxmlformats.org/officeDocument/2006/relationships/image" Target="../media/image284.jpg"/><Relationship Id="rId61" Type="http://schemas.openxmlformats.org/officeDocument/2006/relationships/image" Target="../media/image338.jpg"/><Relationship Id="rId60" Type="http://schemas.openxmlformats.org/officeDocument/2006/relationships/image" Target="../media/image331.jpg"/><Relationship Id="rId51" Type="http://schemas.openxmlformats.org/officeDocument/2006/relationships/image" Target="../media/image375.jpg"/><Relationship Id="rId50" Type="http://schemas.openxmlformats.org/officeDocument/2006/relationships/image" Target="../media/image327.jpg"/><Relationship Id="rId53" Type="http://schemas.openxmlformats.org/officeDocument/2006/relationships/image" Target="../media/image325.jpg"/><Relationship Id="rId52" Type="http://schemas.openxmlformats.org/officeDocument/2006/relationships/image" Target="../media/image332.jpg"/><Relationship Id="rId55" Type="http://schemas.openxmlformats.org/officeDocument/2006/relationships/image" Target="../media/image322.jpg"/><Relationship Id="rId54" Type="http://schemas.openxmlformats.org/officeDocument/2006/relationships/image" Target="../media/image461.jpg"/><Relationship Id="rId57" Type="http://schemas.openxmlformats.org/officeDocument/2006/relationships/image" Target="../media/image343.jpg"/><Relationship Id="rId56" Type="http://schemas.openxmlformats.org/officeDocument/2006/relationships/image" Target="../media/image316.jpg"/><Relationship Id="rId59" Type="http://schemas.openxmlformats.org/officeDocument/2006/relationships/image" Target="../media/image330.jpg"/><Relationship Id="rId58" Type="http://schemas.openxmlformats.org/officeDocument/2006/relationships/image" Target="../media/image254.jpg"/></Relationships>
</file>

<file path=xl/drawings/_rels/drawing14.xml.rels><?xml version="1.0" encoding="UTF-8" standalone="yes"?><Relationships xmlns="http://schemas.openxmlformats.org/package/2006/relationships"><Relationship Id="rId20" Type="http://schemas.openxmlformats.org/officeDocument/2006/relationships/image" Target="../media/image351.jpg"/><Relationship Id="rId22" Type="http://schemas.openxmlformats.org/officeDocument/2006/relationships/image" Target="../media/image361.jpg"/><Relationship Id="rId21" Type="http://schemas.openxmlformats.org/officeDocument/2006/relationships/image" Target="../media/image348.jpg"/><Relationship Id="rId24" Type="http://schemas.openxmlformats.org/officeDocument/2006/relationships/image" Target="../media/image344.jpg"/><Relationship Id="rId23" Type="http://schemas.openxmlformats.org/officeDocument/2006/relationships/image" Target="../media/image347.jpg"/><Relationship Id="rId26" Type="http://schemas.openxmlformats.org/officeDocument/2006/relationships/image" Target="../media/image342.jpg"/><Relationship Id="rId25" Type="http://schemas.openxmlformats.org/officeDocument/2006/relationships/image" Target="../media/image356.jpg"/><Relationship Id="rId28" Type="http://schemas.openxmlformats.org/officeDocument/2006/relationships/image" Target="../media/image400.jpg"/><Relationship Id="rId27" Type="http://schemas.openxmlformats.org/officeDocument/2006/relationships/image" Target="../media/image364.jpg"/><Relationship Id="rId11" Type="http://schemas.openxmlformats.org/officeDocument/2006/relationships/image" Target="../media/image449.jpg"/><Relationship Id="rId10" Type="http://schemas.openxmlformats.org/officeDocument/2006/relationships/image" Target="../media/image272.jpg"/><Relationship Id="rId13" Type="http://schemas.openxmlformats.org/officeDocument/2006/relationships/image" Target="../media/image329.jpg"/><Relationship Id="rId12" Type="http://schemas.openxmlformats.org/officeDocument/2006/relationships/image" Target="../media/image341.jpg"/><Relationship Id="rId15" Type="http://schemas.openxmlformats.org/officeDocument/2006/relationships/image" Target="../media/image362.jpg"/><Relationship Id="rId14" Type="http://schemas.openxmlformats.org/officeDocument/2006/relationships/image" Target="../media/image258.jpg"/><Relationship Id="rId17" Type="http://schemas.openxmlformats.org/officeDocument/2006/relationships/image" Target="../media/image337.jpg"/><Relationship Id="rId16" Type="http://schemas.openxmlformats.org/officeDocument/2006/relationships/image" Target="../media/image363.jpg"/><Relationship Id="rId19" Type="http://schemas.openxmlformats.org/officeDocument/2006/relationships/image" Target="../media/image466.jpg"/><Relationship Id="rId18" Type="http://schemas.openxmlformats.org/officeDocument/2006/relationships/image" Target="../media/image353.jpg"/><Relationship Id="rId1" Type="http://schemas.openxmlformats.org/officeDocument/2006/relationships/image" Target="../media/image391.jpg"/><Relationship Id="rId2" Type="http://schemas.openxmlformats.org/officeDocument/2006/relationships/image" Target="../media/image354.jpg"/><Relationship Id="rId3" Type="http://schemas.openxmlformats.org/officeDocument/2006/relationships/image" Target="../media/image355.jpg"/><Relationship Id="rId4" Type="http://schemas.openxmlformats.org/officeDocument/2006/relationships/image" Target="../media/image350.jpg"/><Relationship Id="rId9" Type="http://schemas.openxmlformats.org/officeDocument/2006/relationships/image" Target="../media/image335.jpg"/><Relationship Id="rId5" Type="http://schemas.openxmlformats.org/officeDocument/2006/relationships/image" Target="../media/image269.jpg"/><Relationship Id="rId6" Type="http://schemas.openxmlformats.org/officeDocument/2006/relationships/image" Target="../media/image349.jpg"/><Relationship Id="rId7" Type="http://schemas.openxmlformats.org/officeDocument/2006/relationships/image" Target="../media/image334.jpg"/><Relationship Id="rId8" Type="http://schemas.openxmlformats.org/officeDocument/2006/relationships/image" Target="../media/image346.jpg"/></Relationships>
</file>

<file path=xl/drawings/_rels/drawing15.xml.rels><?xml version="1.0" encoding="UTF-8" standalone="yes"?><Relationships xmlns="http://schemas.openxmlformats.org/package/2006/relationships"><Relationship Id="rId40" Type="http://schemas.openxmlformats.org/officeDocument/2006/relationships/image" Target="../media/image468.jpg"/><Relationship Id="rId42" Type="http://schemas.openxmlformats.org/officeDocument/2006/relationships/image" Target="../media/image415.jpg"/><Relationship Id="rId41" Type="http://schemas.openxmlformats.org/officeDocument/2006/relationships/image" Target="../media/image393.jpg"/><Relationship Id="rId44" Type="http://schemas.openxmlformats.org/officeDocument/2006/relationships/image" Target="../media/image397.jpg"/><Relationship Id="rId43" Type="http://schemas.openxmlformats.org/officeDocument/2006/relationships/image" Target="../media/image410.jpg"/><Relationship Id="rId46" Type="http://schemas.openxmlformats.org/officeDocument/2006/relationships/image" Target="../media/image402.jpg"/><Relationship Id="rId45" Type="http://schemas.openxmlformats.org/officeDocument/2006/relationships/image" Target="../media/image387.jpg"/><Relationship Id="rId48" Type="http://schemas.openxmlformats.org/officeDocument/2006/relationships/image" Target="../media/image404.jpg"/><Relationship Id="rId47" Type="http://schemas.openxmlformats.org/officeDocument/2006/relationships/image" Target="../media/image398.jpg"/><Relationship Id="rId49" Type="http://schemas.openxmlformats.org/officeDocument/2006/relationships/image" Target="../media/image412.jpg"/><Relationship Id="rId31" Type="http://schemas.openxmlformats.org/officeDocument/2006/relationships/image" Target="../media/image383.jpg"/><Relationship Id="rId30" Type="http://schemas.openxmlformats.org/officeDocument/2006/relationships/image" Target="../media/image389.jpg"/><Relationship Id="rId33" Type="http://schemas.openxmlformats.org/officeDocument/2006/relationships/image" Target="../media/image247.jpg"/><Relationship Id="rId32" Type="http://schemas.openxmlformats.org/officeDocument/2006/relationships/image" Target="../media/image384.jpg"/><Relationship Id="rId35" Type="http://schemas.openxmlformats.org/officeDocument/2006/relationships/image" Target="../media/image374.jpg"/><Relationship Id="rId34" Type="http://schemas.openxmlformats.org/officeDocument/2006/relationships/image" Target="../media/image401.jpg"/><Relationship Id="rId37" Type="http://schemas.openxmlformats.org/officeDocument/2006/relationships/image" Target="../media/image428.jpg"/><Relationship Id="rId36" Type="http://schemas.openxmlformats.org/officeDocument/2006/relationships/image" Target="../media/image396.jpg"/><Relationship Id="rId39" Type="http://schemas.openxmlformats.org/officeDocument/2006/relationships/image" Target="../media/image392.jpg"/><Relationship Id="rId38" Type="http://schemas.openxmlformats.org/officeDocument/2006/relationships/image" Target="../media/image388.jpg"/><Relationship Id="rId20" Type="http://schemas.openxmlformats.org/officeDocument/2006/relationships/image" Target="../media/image369.jpg"/><Relationship Id="rId22" Type="http://schemas.openxmlformats.org/officeDocument/2006/relationships/image" Target="../media/image371.jpg"/><Relationship Id="rId21" Type="http://schemas.openxmlformats.org/officeDocument/2006/relationships/image" Target="../media/image366.jpg"/><Relationship Id="rId24" Type="http://schemas.openxmlformats.org/officeDocument/2006/relationships/image" Target="../media/image382.jpg"/><Relationship Id="rId23" Type="http://schemas.openxmlformats.org/officeDocument/2006/relationships/image" Target="../media/image390.jpg"/><Relationship Id="rId26" Type="http://schemas.openxmlformats.org/officeDocument/2006/relationships/image" Target="../media/image411.jpg"/><Relationship Id="rId25" Type="http://schemas.openxmlformats.org/officeDocument/2006/relationships/image" Target="../media/image370.jpg"/><Relationship Id="rId28" Type="http://schemas.openxmlformats.org/officeDocument/2006/relationships/image" Target="../media/image497.jpg"/><Relationship Id="rId27" Type="http://schemas.openxmlformats.org/officeDocument/2006/relationships/image" Target="../media/image386.jpg"/><Relationship Id="rId29" Type="http://schemas.openxmlformats.org/officeDocument/2006/relationships/image" Target="../media/image378.jpg"/><Relationship Id="rId11" Type="http://schemas.openxmlformats.org/officeDocument/2006/relationships/image" Target="../media/image406.jpg"/><Relationship Id="rId10" Type="http://schemas.openxmlformats.org/officeDocument/2006/relationships/image" Target="../media/image367.jpg"/><Relationship Id="rId13" Type="http://schemas.openxmlformats.org/officeDocument/2006/relationships/image" Target="../media/image123.jpg"/><Relationship Id="rId12" Type="http://schemas.openxmlformats.org/officeDocument/2006/relationships/image" Target="../media/image368.jpg"/><Relationship Id="rId15" Type="http://schemas.openxmlformats.org/officeDocument/2006/relationships/image" Target="../media/image467.jpg"/><Relationship Id="rId14" Type="http://schemas.openxmlformats.org/officeDocument/2006/relationships/image" Target="../media/image372.jpg"/><Relationship Id="rId17" Type="http://schemas.openxmlformats.org/officeDocument/2006/relationships/image" Target="../media/image377.jpg"/><Relationship Id="rId16" Type="http://schemas.openxmlformats.org/officeDocument/2006/relationships/image" Target="../media/image376.jpg"/><Relationship Id="rId19" Type="http://schemas.openxmlformats.org/officeDocument/2006/relationships/image" Target="../media/image448.jpg"/><Relationship Id="rId18" Type="http://schemas.openxmlformats.org/officeDocument/2006/relationships/image" Target="../media/image357.jpg"/><Relationship Id="rId1" Type="http://schemas.openxmlformats.org/officeDocument/2006/relationships/image" Target="../media/image136.jpg"/><Relationship Id="rId2" Type="http://schemas.openxmlformats.org/officeDocument/2006/relationships/image" Target="../media/image373.jpg"/><Relationship Id="rId3" Type="http://schemas.openxmlformats.org/officeDocument/2006/relationships/image" Target="../media/image212.jpg"/><Relationship Id="rId4" Type="http://schemas.openxmlformats.org/officeDocument/2006/relationships/image" Target="../media/image211.jpg"/><Relationship Id="rId9" Type="http://schemas.openxmlformats.org/officeDocument/2006/relationships/image" Target="../media/image175.jpg"/><Relationship Id="rId5" Type="http://schemas.openxmlformats.org/officeDocument/2006/relationships/image" Target="../media/image358.jpg"/><Relationship Id="rId6" Type="http://schemas.openxmlformats.org/officeDocument/2006/relationships/image" Target="../media/image365.jpg"/><Relationship Id="rId7" Type="http://schemas.openxmlformats.org/officeDocument/2006/relationships/image" Target="../media/image395.jpg"/><Relationship Id="rId8" Type="http://schemas.openxmlformats.org/officeDocument/2006/relationships/image" Target="../media/image359.jpg"/><Relationship Id="rId62" Type="http://schemas.openxmlformats.org/officeDocument/2006/relationships/image" Target="../media/image268.jpg"/><Relationship Id="rId61" Type="http://schemas.openxmlformats.org/officeDocument/2006/relationships/image" Target="../media/image431.jpg"/><Relationship Id="rId64" Type="http://schemas.openxmlformats.org/officeDocument/2006/relationships/image" Target="../media/image623.jpg"/><Relationship Id="rId63" Type="http://schemas.openxmlformats.org/officeDocument/2006/relationships/image" Target="../media/image416.jpg"/><Relationship Id="rId66" Type="http://schemas.openxmlformats.org/officeDocument/2006/relationships/image" Target="../media/image426.jpg"/><Relationship Id="rId65" Type="http://schemas.openxmlformats.org/officeDocument/2006/relationships/image" Target="../media/image444.jpg"/><Relationship Id="rId68" Type="http://schemas.openxmlformats.org/officeDocument/2006/relationships/image" Target="../media/image433.jpg"/><Relationship Id="rId67" Type="http://schemas.openxmlformats.org/officeDocument/2006/relationships/image" Target="../media/image453.jpg"/><Relationship Id="rId60" Type="http://schemas.openxmlformats.org/officeDocument/2006/relationships/image" Target="../media/image418.jpg"/><Relationship Id="rId51" Type="http://schemas.openxmlformats.org/officeDocument/2006/relationships/image" Target="../media/image419.jpg"/><Relationship Id="rId50" Type="http://schemas.openxmlformats.org/officeDocument/2006/relationships/image" Target="../media/image403.jpg"/><Relationship Id="rId53" Type="http://schemas.openxmlformats.org/officeDocument/2006/relationships/image" Target="../media/image408.jpg"/><Relationship Id="rId52" Type="http://schemas.openxmlformats.org/officeDocument/2006/relationships/image" Target="../media/image273.jpg"/><Relationship Id="rId55" Type="http://schemas.openxmlformats.org/officeDocument/2006/relationships/image" Target="../media/image409.jpg"/><Relationship Id="rId54" Type="http://schemas.openxmlformats.org/officeDocument/2006/relationships/image" Target="../media/image424.jpg"/><Relationship Id="rId57" Type="http://schemas.openxmlformats.org/officeDocument/2006/relationships/image" Target="../media/image417.jpg"/><Relationship Id="rId56" Type="http://schemas.openxmlformats.org/officeDocument/2006/relationships/image" Target="../media/image405.jpg"/><Relationship Id="rId59" Type="http://schemas.openxmlformats.org/officeDocument/2006/relationships/image" Target="../media/image399.jpg"/><Relationship Id="rId58" Type="http://schemas.openxmlformats.org/officeDocument/2006/relationships/image" Target="../media/image421.jpg"/></Relationships>
</file>

<file path=xl/drawings/_rels/drawing16.xml.rels><?xml version="1.0" encoding="UTF-8" standalone="yes"?><Relationships xmlns="http://schemas.openxmlformats.org/package/2006/relationships"><Relationship Id="rId40" Type="http://schemas.openxmlformats.org/officeDocument/2006/relationships/image" Target="../media/image474.jpg"/><Relationship Id="rId42" Type="http://schemas.openxmlformats.org/officeDocument/2006/relationships/image" Target="../media/image477.jpg"/><Relationship Id="rId41" Type="http://schemas.openxmlformats.org/officeDocument/2006/relationships/image" Target="../media/image462.jpg"/><Relationship Id="rId44" Type="http://schemas.openxmlformats.org/officeDocument/2006/relationships/image" Target="../media/image464.jpg"/><Relationship Id="rId43" Type="http://schemas.openxmlformats.org/officeDocument/2006/relationships/image" Target="../media/image469.jpg"/><Relationship Id="rId46" Type="http://schemas.openxmlformats.org/officeDocument/2006/relationships/image" Target="../media/image611.jpg"/><Relationship Id="rId45" Type="http://schemas.openxmlformats.org/officeDocument/2006/relationships/image" Target="../media/image482.jpg"/><Relationship Id="rId48" Type="http://schemas.openxmlformats.org/officeDocument/2006/relationships/image" Target="../media/image460.jpg"/><Relationship Id="rId47" Type="http://schemas.openxmlformats.org/officeDocument/2006/relationships/image" Target="../media/image478.jpg"/><Relationship Id="rId49" Type="http://schemas.openxmlformats.org/officeDocument/2006/relationships/image" Target="../media/image499.jpg"/><Relationship Id="rId31" Type="http://schemas.openxmlformats.org/officeDocument/2006/relationships/image" Target="../media/image452.jpg"/><Relationship Id="rId30" Type="http://schemas.openxmlformats.org/officeDocument/2006/relationships/image" Target="../media/image447.jpg"/><Relationship Id="rId33" Type="http://schemas.openxmlformats.org/officeDocument/2006/relationships/image" Target="../media/image608.jpg"/><Relationship Id="rId32" Type="http://schemas.openxmlformats.org/officeDocument/2006/relationships/image" Target="../media/image451.jpg"/><Relationship Id="rId35" Type="http://schemas.openxmlformats.org/officeDocument/2006/relationships/image" Target="../media/image459.jpg"/><Relationship Id="rId34" Type="http://schemas.openxmlformats.org/officeDocument/2006/relationships/image" Target="../media/image251.jpg"/><Relationship Id="rId37" Type="http://schemas.openxmlformats.org/officeDocument/2006/relationships/image" Target="../media/image489.jpg"/><Relationship Id="rId36" Type="http://schemas.openxmlformats.org/officeDocument/2006/relationships/image" Target="../media/image450.jpg"/><Relationship Id="rId39" Type="http://schemas.openxmlformats.org/officeDocument/2006/relationships/image" Target="../media/image472.jpg"/><Relationship Id="rId38" Type="http://schemas.openxmlformats.org/officeDocument/2006/relationships/image" Target="../media/image454.jpg"/><Relationship Id="rId20" Type="http://schemas.openxmlformats.org/officeDocument/2006/relationships/image" Target="../media/image436.jpg"/><Relationship Id="rId22" Type="http://schemas.openxmlformats.org/officeDocument/2006/relationships/image" Target="../media/image473.jpg"/><Relationship Id="rId21" Type="http://schemas.openxmlformats.org/officeDocument/2006/relationships/image" Target="../media/image612.jpg"/><Relationship Id="rId24" Type="http://schemas.openxmlformats.org/officeDocument/2006/relationships/image" Target="../media/image481.jpg"/><Relationship Id="rId23" Type="http://schemas.openxmlformats.org/officeDocument/2006/relationships/image" Target="../media/image236.jpg"/><Relationship Id="rId26" Type="http://schemas.openxmlformats.org/officeDocument/2006/relationships/image" Target="../media/image441.jpg"/><Relationship Id="rId25" Type="http://schemas.openxmlformats.org/officeDocument/2006/relationships/image" Target="../media/image475.jpg"/><Relationship Id="rId28" Type="http://schemas.openxmlformats.org/officeDocument/2006/relationships/image" Target="../media/image437.jpg"/><Relationship Id="rId27" Type="http://schemas.openxmlformats.org/officeDocument/2006/relationships/image" Target="../media/image440.jpg"/><Relationship Id="rId29" Type="http://schemas.openxmlformats.org/officeDocument/2006/relationships/image" Target="../media/image446.jpg"/><Relationship Id="rId11" Type="http://schemas.openxmlformats.org/officeDocument/2006/relationships/image" Target="../media/image455.jpg"/><Relationship Id="rId10" Type="http://schemas.openxmlformats.org/officeDocument/2006/relationships/image" Target="../media/image429.jpg"/><Relationship Id="rId13" Type="http://schemas.openxmlformats.org/officeDocument/2006/relationships/image" Target="../media/image438.jpg"/><Relationship Id="rId12" Type="http://schemas.openxmlformats.org/officeDocument/2006/relationships/image" Target="../media/image256.jpg"/><Relationship Id="rId15" Type="http://schemas.openxmlformats.org/officeDocument/2006/relationships/image" Target="../media/image439.jpg"/><Relationship Id="rId14" Type="http://schemas.openxmlformats.org/officeDocument/2006/relationships/image" Target="../media/image244.jpg"/><Relationship Id="rId17" Type="http://schemas.openxmlformats.org/officeDocument/2006/relationships/image" Target="../media/image434.jpg"/><Relationship Id="rId16" Type="http://schemas.openxmlformats.org/officeDocument/2006/relationships/image" Target="../media/image422.jpg"/><Relationship Id="rId19" Type="http://schemas.openxmlformats.org/officeDocument/2006/relationships/image" Target="../media/image248.jpg"/><Relationship Id="rId18" Type="http://schemas.openxmlformats.org/officeDocument/2006/relationships/image" Target="../media/image435.jpg"/><Relationship Id="rId1" Type="http://schemas.openxmlformats.org/officeDocument/2006/relationships/image" Target="../media/image432.jpg"/><Relationship Id="rId2" Type="http://schemas.openxmlformats.org/officeDocument/2006/relationships/image" Target="../media/image427.jpg"/><Relationship Id="rId3" Type="http://schemas.openxmlformats.org/officeDocument/2006/relationships/image" Target="../media/image425.jpg"/><Relationship Id="rId4" Type="http://schemas.openxmlformats.org/officeDocument/2006/relationships/image" Target="../media/image420.jpg"/><Relationship Id="rId9" Type="http://schemas.openxmlformats.org/officeDocument/2006/relationships/image" Target="../media/image233.jpg"/><Relationship Id="rId5" Type="http://schemas.openxmlformats.org/officeDocument/2006/relationships/image" Target="../media/image430.jpg"/><Relationship Id="rId6" Type="http://schemas.openxmlformats.org/officeDocument/2006/relationships/image" Target="../media/image443.jpg"/><Relationship Id="rId7" Type="http://schemas.openxmlformats.org/officeDocument/2006/relationships/image" Target="../media/image253.jpg"/><Relationship Id="rId8" Type="http://schemas.openxmlformats.org/officeDocument/2006/relationships/image" Target="../media/image442.jpg"/><Relationship Id="rId51" Type="http://schemas.openxmlformats.org/officeDocument/2006/relationships/image" Target="../media/image470.jpg"/><Relationship Id="rId50" Type="http://schemas.openxmlformats.org/officeDocument/2006/relationships/image" Target="../media/image491.jpg"/><Relationship Id="rId53" Type="http://schemas.openxmlformats.org/officeDocument/2006/relationships/image" Target="../media/image488.jpg"/><Relationship Id="rId52" Type="http://schemas.openxmlformats.org/officeDocument/2006/relationships/image" Target="../media/image476.jpg"/><Relationship Id="rId55" Type="http://schemas.openxmlformats.org/officeDocument/2006/relationships/image" Target="../media/image493.jpg"/><Relationship Id="rId54" Type="http://schemas.openxmlformats.org/officeDocument/2006/relationships/image" Target="../media/image492.jpg"/><Relationship Id="rId57" Type="http://schemas.openxmlformats.org/officeDocument/2006/relationships/image" Target="../media/image494.jpg"/><Relationship Id="rId56" Type="http://schemas.openxmlformats.org/officeDocument/2006/relationships/image" Target="../media/image479.jpg"/><Relationship Id="rId59" Type="http://schemas.openxmlformats.org/officeDocument/2006/relationships/image" Target="../media/image484.jpg"/><Relationship Id="rId58" Type="http://schemas.openxmlformats.org/officeDocument/2006/relationships/image" Target="../media/image613.jpg"/></Relationships>
</file>

<file path=xl/drawings/_rels/drawing17.xml.rels><?xml version="1.0" encoding="UTF-8" standalone="yes"?><Relationships xmlns="http://schemas.openxmlformats.org/package/2006/relationships"><Relationship Id="rId40" Type="http://schemas.openxmlformats.org/officeDocument/2006/relationships/image" Target="../media/image516.jpg"/><Relationship Id="rId42" Type="http://schemas.openxmlformats.org/officeDocument/2006/relationships/image" Target="../media/image522.jpg"/><Relationship Id="rId41" Type="http://schemas.openxmlformats.org/officeDocument/2006/relationships/image" Target="../media/image540.jpg"/><Relationship Id="rId44" Type="http://schemas.openxmlformats.org/officeDocument/2006/relationships/image" Target="../media/image539.jpg"/><Relationship Id="rId43" Type="http://schemas.openxmlformats.org/officeDocument/2006/relationships/image" Target="../media/image547.jpg"/><Relationship Id="rId46" Type="http://schemas.openxmlformats.org/officeDocument/2006/relationships/image" Target="../media/image523.jpg"/><Relationship Id="rId45" Type="http://schemas.openxmlformats.org/officeDocument/2006/relationships/image" Target="../media/image526.jpg"/><Relationship Id="rId48" Type="http://schemas.openxmlformats.org/officeDocument/2006/relationships/image" Target="../media/image530.jpg"/><Relationship Id="rId47" Type="http://schemas.openxmlformats.org/officeDocument/2006/relationships/image" Target="../media/image527.jpg"/><Relationship Id="rId31" Type="http://schemas.openxmlformats.org/officeDocument/2006/relationships/image" Target="../media/image512.jpg"/><Relationship Id="rId30" Type="http://schemas.openxmlformats.org/officeDocument/2006/relationships/image" Target="../media/image525.jpg"/><Relationship Id="rId33" Type="http://schemas.openxmlformats.org/officeDocument/2006/relationships/image" Target="../media/image521.jpg"/><Relationship Id="rId32" Type="http://schemas.openxmlformats.org/officeDocument/2006/relationships/image" Target="../media/image548.jpg"/><Relationship Id="rId35" Type="http://schemas.openxmlformats.org/officeDocument/2006/relationships/image" Target="../media/image542.jpg"/><Relationship Id="rId34" Type="http://schemas.openxmlformats.org/officeDocument/2006/relationships/image" Target="../media/image514.jpg"/><Relationship Id="rId37" Type="http://schemas.openxmlformats.org/officeDocument/2006/relationships/image" Target="../media/image536.jpg"/><Relationship Id="rId36" Type="http://schemas.openxmlformats.org/officeDocument/2006/relationships/image" Target="../media/image511.jpg"/><Relationship Id="rId39" Type="http://schemas.openxmlformats.org/officeDocument/2006/relationships/image" Target="../media/image513.jpg"/><Relationship Id="rId38" Type="http://schemas.openxmlformats.org/officeDocument/2006/relationships/image" Target="../media/image616.jpg"/><Relationship Id="rId20" Type="http://schemas.openxmlformats.org/officeDocument/2006/relationships/image" Target="../media/image507.jpg"/><Relationship Id="rId22" Type="http://schemas.openxmlformats.org/officeDocument/2006/relationships/image" Target="../media/image510.jpg"/><Relationship Id="rId21" Type="http://schemas.openxmlformats.org/officeDocument/2006/relationships/image" Target="../media/image506.jpg"/><Relationship Id="rId24" Type="http://schemas.openxmlformats.org/officeDocument/2006/relationships/image" Target="../media/image515.jpg"/><Relationship Id="rId23" Type="http://schemas.openxmlformats.org/officeDocument/2006/relationships/image" Target="../media/image517.jpg"/><Relationship Id="rId26" Type="http://schemas.openxmlformats.org/officeDocument/2006/relationships/image" Target="../media/image528.jpg"/><Relationship Id="rId25" Type="http://schemas.openxmlformats.org/officeDocument/2006/relationships/image" Target="../media/image278.jpg"/><Relationship Id="rId28" Type="http://schemas.openxmlformats.org/officeDocument/2006/relationships/image" Target="../media/image508.jpg"/><Relationship Id="rId27" Type="http://schemas.openxmlformats.org/officeDocument/2006/relationships/image" Target="../media/image502.jpg"/><Relationship Id="rId29" Type="http://schemas.openxmlformats.org/officeDocument/2006/relationships/image" Target="../media/image519.jpg"/><Relationship Id="rId11" Type="http://schemas.openxmlformats.org/officeDocument/2006/relationships/image" Target="../media/image505.jpg"/><Relationship Id="rId10" Type="http://schemas.openxmlformats.org/officeDocument/2006/relationships/image" Target="../media/image498.jpg"/><Relationship Id="rId13" Type="http://schemas.openxmlformats.org/officeDocument/2006/relationships/image" Target="../media/image500.jpg"/><Relationship Id="rId12" Type="http://schemas.openxmlformats.org/officeDocument/2006/relationships/image" Target="../media/image614.jpg"/><Relationship Id="rId15" Type="http://schemas.openxmlformats.org/officeDocument/2006/relationships/image" Target="../media/image267.jpg"/><Relationship Id="rId14" Type="http://schemas.openxmlformats.org/officeDocument/2006/relationships/image" Target="../media/image139.jpg"/><Relationship Id="rId17" Type="http://schemas.openxmlformats.org/officeDocument/2006/relationships/image" Target="../media/image503.jpg"/><Relationship Id="rId16" Type="http://schemas.openxmlformats.org/officeDocument/2006/relationships/image" Target="../media/image487.jpg"/><Relationship Id="rId19" Type="http://schemas.openxmlformats.org/officeDocument/2006/relationships/image" Target="../media/image264.jpg"/><Relationship Id="rId18" Type="http://schemas.openxmlformats.org/officeDocument/2006/relationships/image" Target="../media/image495.jpg"/><Relationship Id="rId1" Type="http://schemas.openxmlformats.org/officeDocument/2006/relationships/image" Target="../media/image483.jpg"/><Relationship Id="rId2" Type="http://schemas.openxmlformats.org/officeDocument/2006/relationships/image" Target="../media/image504.jpg"/><Relationship Id="rId3" Type="http://schemas.openxmlformats.org/officeDocument/2006/relationships/image" Target="../media/image480.jpg"/><Relationship Id="rId4" Type="http://schemas.openxmlformats.org/officeDocument/2006/relationships/image" Target="../media/image257.jpg"/><Relationship Id="rId9" Type="http://schemas.openxmlformats.org/officeDocument/2006/relationships/image" Target="../media/image490.jpg"/><Relationship Id="rId5" Type="http://schemas.openxmlformats.org/officeDocument/2006/relationships/image" Target="../media/image138.jpg"/><Relationship Id="rId6" Type="http://schemas.openxmlformats.org/officeDocument/2006/relationships/image" Target="../media/image413.jpg"/><Relationship Id="rId7" Type="http://schemas.openxmlformats.org/officeDocument/2006/relationships/image" Target="../media/image509.jpg"/><Relationship Id="rId8" Type="http://schemas.openxmlformats.org/officeDocument/2006/relationships/image" Target="../media/image496.jpg"/></Relationships>
</file>

<file path=xl/drawings/_rels/drawing18.xml.rels><?xml version="1.0" encoding="UTF-8" standalone="yes"?><Relationships xmlns="http://schemas.openxmlformats.org/package/2006/relationships"><Relationship Id="rId31" Type="http://schemas.openxmlformats.org/officeDocument/2006/relationships/image" Target="../media/image567.jpg"/><Relationship Id="rId30" Type="http://schemas.openxmlformats.org/officeDocument/2006/relationships/image" Target="../media/image556.jpg"/><Relationship Id="rId33" Type="http://schemas.openxmlformats.org/officeDocument/2006/relationships/image" Target="../media/image564.jpg"/><Relationship Id="rId32" Type="http://schemas.openxmlformats.org/officeDocument/2006/relationships/image" Target="../media/image552.jpg"/><Relationship Id="rId35" Type="http://schemas.openxmlformats.org/officeDocument/2006/relationships/image" Target="../media/image566.jpg"/><Relationship Id="rId34" Type="http://schemas.openxmlformats.org/officeDocument/2006/relationships/image" Target="../media/image577.jpg"/><Relationship Id="rId37" Type="http://schemas.openxmlformats.org/officeDocument/2006/relationships/image" Target="../media/image579.jpg"/><Relationship Id="rId36" Type="http://schemas.openxmlformats.org/officeDocument/2006/relationships/image" Target="../media/image554.jpg"/><Relationship Id="rId38" Type="http://schemas.openxmlformats.org/officeDocument/2006/relationships/image" Target="../media/image574.jpg"/><Relationship Id="rId20" Type="http://schemas.openxmlformats.org/officeDocument/2006/relationships/image" Target="../media/image583.jpg"/><Relationship Id="rId22" Type="http://schemas.openxmlformats.org/officeDocument/2006/relationships/image" Target="../media/image565.jpg"/><Relationship Id="rId21" Type="http://schemas.openxmlformats.org/officeDocument/2006/relationships/image" Target="../media/image544.jpg"/><Relationship Id="rId24" Type="http://schemas.openxmlformats.org/officeDocument/2006/relationships/image" Target="../media/image218.jpg"/><Relationship Id="rId23" Type="http://schemas.openxmlformats.org/officeDocument/2006/relationships/image" Target="../media/image196.jpg"/><Relationship Id="rId26" Type="http://schemas.openxmlformats.org/officeDocument/2006/relationships/image" Target="../media/image545.jpg"/><Relationship Id="rId25" Type="http://schemas.openxmlformats.org/officeDocument/2006/relationships/image" Target="../media/image551.jpg"/><Relationship Id="rId28" Type="http://schemas.openxmlformats.org/officeDocument/2006/relationships/image" Target="../media/image648.jpg"/><Relationship Id="rId27" Type="http://schemas.openxmlformats.org/officeDocument/2006/relationships/image" Target="../media/image559.jpg"/><Relationship Id="rId29" Type="http://schemas.openxmlformats.org/officeDocument/2006/relationships/image" Target="../media/image549.jpg"/><Relationship Id="rId11" Type="http://schemas.openxmlformats.org/officeDocument/2006/relationships/image" Target="../media/image533.jpg"/><Relationship Id="rId10" Type="http://schemas.openxmlformats.org/officeDocument/2006/relationships/image" Target="../media/image538.jpg"/><Relationship Id="rId13" Type="http://schemas.openxmlformats.org/officeDocument/2006/relationships/image" Target="../media/image550.jpg"/><Relationship Id="rId12" Type="http://schemas.openxmlformats.org/officeDocument/2006/relationships/image" Target="../media/image537.jpg"/><Relationship Id="rId15" Type="http://schemas.openxmlformats.org/officeDocument/2006/relationships/image" Target="../media/image197.jpg"/><Relationship Id="rId14" Type="http://schemas.openxmlformats.org/officeDocument/2006/relationships/image" Target="../media/image541.jpg"/><Relationship Id="rId17" Type="http://schemas.openxmlformats.org/officeDocument/2006/relationships/image" Target="../media/image543.jpg"/><Relationship Id="rId16" Type="http://schemas.openxmlformats.org/officeDocument/2006/relationships/image" Target="../media/image214.jpg"/><Relationship Id="rId19" Type="http://schemas.openxmlformats.org/officeDocument/2006/relationships/image" Target="../media/image546.jpg"/><Relationship Id="rId18" Type="http://schemas.openxmlformats.org/officeDocument/2006/relationships/image" Target="../media/image578.jpg"/><Relationship Id="rId1" Type="http://schemas.openxmlformats.org/officeDocument/2006/relationships/image" Target="../media/image532.jpg"/><Relationship Id="rId2" Type="http://schemas.openxmlformats.org/officeDocument/2006/relationships/image" Target="../media/image661.jpg"/><Relationship Id="rId3" Type="http://schemas.openxmlformats.org/officeDocument/2006/relationships/image" Target="../media/image531.jpg"/><Relationship Id="rId4" Type="http://schemas.openxmlformats.org/officeDocument/2006/relationships/image" Target="../media/image261.jpg"/><Relationship Id="rId9" Type="http://schemas.openxmlformats.org/officeDocument/2006/relationships/image" Target="../media/image534.jpg"/><Relationship Id="rId5" Type="http://schemas.openxmlformats.org/officeDocument/2006/relationships/image" Target="../media/image518.jpg"/><Relationship Id="rId6" Type="http://schemas.openxmlformats.org/officeDocument/2006/relationships/image" Target="../media/image529.jpg"/><Relationship Id="rId7" Type="http://schemas.openxmlformats.org/officeDocument/2006/relationships/image" Target="../media/image227.jpg"/><Relationship Id="rId8" Type="http://schemas.openxmlformats.org/officeDocument/2006/relationships/image" Target="../media/image246.jpg"/></Relationships>
</file>

<file path=xl/drawings/_rels/drawing19.xml.rels><?xml version="1.0" encoding="UTF-8" standalone="yes"?><Relationships xmlns="http://schemas.openxmlformats.org/package/2006/relationships"><Relationship Id="rId40" Type="http://schemas.openxmlformats.org/officeDocument/2006/relationships/image" Target="../media/image610.jpg"/><Relationship Id="rId42" Type="http://schemas.openxmlformats.org/officeDocument/2006/relationships/image" Target="../media/image621.jpg"/><Relationship Id="rId41" Type="http://schemas.openxmlformats.org/officeDocument/2006/relationships/image" Target="../media/image596.jpg"/><Relationship Id="rId44" Type="http://schemas.openxmlformats.org/officeDocument/2006/relationships/image" Target="../media/image593.jpg"/><Relationship Id="rId43" Type="http://schemas.openxmlformats.org/officeDocument/2006/relationships/image" Target="../media/image594.jpg"/><Relationship Id="rId46" Type="http://schemas.openxmlformats.org/officeDocument/2006/relationships/image" Target="../media/image606.jpg"/><Relationship Id="rId45" Type="http://schemas.openxmlformats.org/officeDocument/2006/relationships/image" Target="../media/image609.jpg"/><Relationship Id="rId48" Type="http://schemas.openxmlformats.org/officeDocument/2006/relationships/image" Target="../media/image639.jpg"/><Relationship Id="rId47" Type="http://schemas.openxmlformats.org/officeDocument/2006/relationships/image" Target="../media/image617.jpg"/><Relationship Id="rId49" Type="http://schemas.openxmlformats.org/officeDocument/2006/relationships/image" Target="../media/image274.jpg"/><Relationship Id="rId31" Type="http://schemas.openxmlformats.org/officeDocument/2006/relationships/image" Target="../media/image598.jpg"/><Relationship Id="rId30" Type="http://schemas.openxmlformats.org/officeDocument/2006/relationships/image" Target="../media/image590.jpg"/><Relationship Id="rId33" Type="http://schemas.openxmlformats.org/officeDocument/2006/relationships/image" Target="../media/image585.jpg"/><Relationship Id="rId32" Type="http://schemas.openxmlformats.org/officeDocument/2006/relationships/image" Target="../media/image587.jpg"/><Relationship Id="rId35" Type="http://schemas.openxmlformats.org/officeDocument/2006/relationships/image" Target="../media/image619.jpg"/><Relationship Id="rId34" Type="http://schemas.openxmlformats.org/officeDocument/2006/relationships/image" Target="../media/image271.jpg"/><Relationship Id="rId37" Type="http://schemas.openxmlformats.org/officeDocument/2006/relationships/image" Target="../media/image592.jpg"/><Relationship Id="rId36" Type="http://schemas.openxmlformats.org/officeDocument/2006/relationships/image" Target="../media/image595.jpg"/><Relationship Id="rId39" Type="http://schemas.openxmlformats.org/officeDocument/2006/relationships/image" Target="../media/image660.jpg"/><Relationship Id="rId38" Type="http://schemas.openxmlformats.org/officeDocument/2006/relationships/image" Target="../media/image597.jpg"/><Relationship Id="rId20" Type="http://schemas.openxmlformats.org/officeDocument/2006/relationships/image" Target="../media/image591.jpg"/><Relationship Id="rId22" Type="http://schemas.openxmlformats.org/officeDocument/2006/relationships/image" Target="../media/image572.jpg"/><Relationship Id="rId21" Type="http://schemas.openxmlformats.org/officeDocument/2006/relationships/image" Target="../media/image584.jpg"/><Relationship Id="rId24" Type="http://schemas.openxmlformats.org/officeDocument/2006/relationships/image" Target="../media/image582.jpg"/><Relationship Id="rId23" Type="http://schemas.openxmlformats.org/officeDocument/2006/relationships/image" Target="../media/image586.jpg"/><Relationship Id="rId26" Type="http://schemas.openxmlformats.org/officeDocument/2006/relationships/image" Target="../media/image588.jpg"/><Relationship Id="rId25" Type="http://schemas.openxmlformats.org/officeDocument/2006/relationships/image" Target="../media/image380.jpg"/><Relationship Id="rId28" Type="http://schemas.openxmlformats.org/officeDocument/2006/relationships/image" Target="../media/image602.jpg"/><Relationship Id="rId27" Type="http://schemas.openxmlformats.org/officeDocument/2006/relationships/image" Target="../media/image641.jpg"/><Relationship Id="rId29" Type="http://schemas.openxmlformats.org/officeDocument/2006/relationships/image" Target="../media/image599.jpg"/><Relationship Id="rId11" Type="http://schemas.openxmlformats.org/officeDocument/2006/relationships/image" Target="../media/image697.jpg"/><Relationship Id="rId10" Type="http://schemas.openxmlformats.org/officeDocument/2006/relationships/image" Target="../media/image555.jpg"/><Relationship Id="rId13" Type="http://schemas.openxmlformats.org/officeDocument/2006/relationships/image" Target="../media/image571.jpg"/><Relationship Id="rId12" Type="http://schemas.openxmlformats.org/officeDocument/2006/relationships/image" Target="../media/image580.jpg"/><Relationship Id="rId15" Type="http://schemas.openxmlformats.org/officeDocument/2006/relationships/image" Target="../media/image576.jpg"/><Relationship Id="rId14" Type="http://schemas.openxmlformats.org/officeDocument/2006/relationships/image" Target="../media/image628.jpg"/><Relationship Id="rId17" Type="http://schemas.openxmlformats.org/officeDocument/2006/relationships/image" Target="../media/image604.jpg"/><Relationship Id="rId16" Type="http://schemas.openxmlformats.org/officeDocument/2006/relationships/image" Target="../media/image589.jpg"/><Relationship Id="rId19" Type="http://schemas.openxmlformats.org/officeDocument/2006/relationships/image" Target="../media/image575.jpg"/><Relationship Id="rId18" Type="http://schemas.openxmlformats.org/officeDocument/2006/relationships/image" Target="../media/image229.jpg"/><Relationship Id="rId1" Type="http://schemas.openxmlformats.org/officeDocument/2006/relationships/image" Target="../media/image573.jpg"/><Relationship Id="rId2" Type="http://schemas.openxmlformats.org/officeDocument/2006/relationships/image" Target="../media/image153.jpg"/><Relationship Id="rId3" Type="http://schemas.openxmlformats.org/officeDocument/2006/relationships/image" Target="../media/image581.jpg"/><Relationship Id="rId4" Type="http://schemas.openxmlformats.org/officeDocument/2006/relationships/image" Target="../media/image557.jpg"/><Relationship Id="rId9" Type="http://schemas.openxmlformats.org/officeDocument/2006/relationships/image" Target="../media/image569.jpg"/><Relationship Id="rId5" Type="http://schemas.openxmlformats.org/officeDocument/2006/relationships/image" Target="../media/image217.jpg"/><Relationship Id="rId6" Type="http://schemas.openxmlformats.org/officeDocument/2006/relationships/image" Target="../media/image210.jpg"/><Relationship Id="rId7" Type="http://schemas.openxmlformats.org/officeDocument/2006/relationships/image" Target="../media/image568.jpg"/><Relationship Id="rId8" Type="http://schemas.openxmlformats.org/officeDocument/2006/relationships/image" Target="../media/image570.jpg"/><Relationship Id="rId51" Type="http://schemas.openxmlformats.org/officeDocument/2006/relationships/image" Target="../media/image654.jpg"/><Relationship Id="rId50" Type="http://schemas.openxmlformats.org/officeDocument/2006/relationships/image" Target="../media/image605.jpg"/><Relationship Id="rId53" Type="http://schemas.openxmlformats.org/officeDocument/2006/relationships/image" Target="../media/image636.jpg"/><Relationship Id="rId52" Type="http://schemas.openxmlformats.org/officeDocument/2006/relationships/image" Target="../media/image618.jpg"/></Relationships>
</file>

<file path=xl/drawings/_rels/drawing20.xml.rels><?xml version="1.0" encoding="UTF-8" standalone="yes"?><Relationships xmlns="http://schemas.openxmlformats.org/package/2006/relationships"><Relationship Id="rId31" Type="http://schemas.openxmlformats.org/officeDocument/2006/relationships/image" Target="../media/image103.jpg"/><Relationship Id="rId30" Type="http://schemas.openxmlformats.org/officeDocument/2006/relationships/image" Target="../media/image150.jpg"/><Relationship Id="rId33" Type="http://schemas.openxmlformats.org/officeDocument/2006/relationships/image" Target="../media/image148.jpg"/><Relationship Id="rId32" Type="http://schemas.openxmlformats.org/officeDocument/2006/relationships/image" Target="../media/image100.jpg"/><Relationship Id="rId34" Type="http://schemas.openxmlformats.org/officeDocument/2006/relationships/image" Target="../media/image107.jpg"/><Relationship Id="rId20" Type="http://schemas.openxmlformats.org/officeDocument/2006/relationships/image" Target="../media/image156.jpg"/><Relationship Id="rId22" Type="http://schemas.openxmlformats.org/officeDocument/2006/relationships/image" Target="../media/image97.jpg"/><Relationship Id="rId21" Type="http://schemas.openxmlformats.org/officeDocument/2006/relationships/image" Target="../media/image620.jpg"/><Relationship Id="rId24" Type="http://schemas.openxmlformats.org/officeDocument/2006/relationships/image" Target="../media/image111.jpg"/><Relationship Id="rId23" Type="http://schemas.openxmlformats.org/officeDocument/2006/relationships/image" Target="../media/image93.jpg"/><Relationship Id="rId26" Type="http://schemas.openxmlformats.org/officeDocument/2006/relationships/image" Target="../media/image638.jpg"/><Relationship Id="rId25" Type="http://schemas.openxmlformats.org/officeDocument/2006/relationships/image" Target="../media/image631.jpg"/><Relationship Id="rId28" Type="http://schemas.openxmlformats.org/officeDocument/2006/relationships/image" Target="../media/image145.jpg"/><Relationship Id="rId27" Type="http://schemas.openxmlformats.org/officeDocument/2006/relationships/image" Target="../media/image108.jpg"/><Relationship Id="rId29" Type="http://schemas.openxmlformats.org/officeDocument/2006/relationships/image" Target="../media/image109.jpg"/><Relationship Id="rId11" Type="http://schemas.openxmlformats.org/officeDocument/2006/relationships/image" Target="../media/image181.jpg"/><Relationship Id="rId10" Type="http://schemas.openxmlformats.org/officeDocument/2006/relationships/image" Target="../media/image120.jpg"/><Relationship Id="rId13" Type="http://schemas.openxmlformats.org/officeDocument/2006/relationships/image" Target="../media/image96.jpg"/><Relationship Id="rId12" Type="http://schemas.openxmlformats.org/officeDocument/2006/relationships/image" Target="../media/image112.jpg"/><Relationship Id="rId15" Type="http://schemas.openxmlformats.org/officeDocument/2006/relationships/image" Target="../media/image655.jpg"/><Relationship Id="rId14" Type="http://schemas.openxmlformats.org/officeDocument/2006/relationships/image" Target="../media/image633.jpg"/><Relationship Id="rId17" Type="http://schemas.openxmlformats.org/officeDocument/2006/relationships/image" Target="../media/image89.jpg"/><Relationship Id="rId16" Type="http://schemas.openxmlformats.org/officeDocument/2006/relationships/image" Target="../media/image645.jpg"/><Relationship Id="rId19" Type="http://schemas.openxmlformats.org/officeDocument/2006/relationships/image" Target="../media/image634.jpg"/><Relationship Id="rId18" Type="http://schemas.openxmlformats.org/officeDocument/2006/relationships/image" Target="../media/image102.jpg"/><Relationship Id="rId1" Type="http://schemas.openxmlformats.org/officeDocument/2006/relationships/image" Target="../media/image149.jpg"/><Relationship Id="rId2" Type="http://schemas.openxmlformats.org/officeDocument/2006/relationships/image" Target="../media/image607.jpg"/><Relationship Id="rId3" Type="http://schemas.openxmlformats.org/officeDocument/2006/relationships/image" Target="../media/image615.jpg"/><Relationship Id="rId4" Type="http://schemas.openxmlformats.org/officeDocument/2006/relationships/image" Target="../media/image629.jpg"/><Relationship Id="rId9" Type="http://schemas.openxmlformats.org/officeDocument/2006/relationships/image" Target="../media/image208.jpg"/><Relationship Id="rId5" Type="http://schemas.openxmlformats.org/officeDocument/2006/relationships/image" Target="../media/image134.jpg"/><Relationship Id="rId6" Type="http://schemas.openxmlformats.org/officeDocument/2006/relationships/image" Target="../media/image166.jpg"/><Relationship Id="rId7" Type="http://schemas.openxmlformats.org/officeDocument/2006/relationships/image" Target="../media/image624.jpg"/><Relationship Id="rId8" Type="http://schemas.openxmlformats.org/officeDocument/2006/relationships/image" Target="../media/image632.jpg"/></Relationships>
</file>

<file path=xl/drawings/_rels/drawing21.xml.rels><?xml version="1.0" encoding="UTF-8" standalone="yes"?><Relationships xmlns="http://schemas.openxmlformats.org/package/2006/relationships"><Relationship Id="rId40" Type="http://schemas.openxmlformats.org/officeDocument/2006/relationships/image" Target="../media/image91.jpg"/><Relationship Id="rId42" Type="http://schemas.openxmlformats.org/officeDocument/2006/relationships/image" Target="../media/image88.jpg"/><Relationship Id="rId41" Type="http://schemas.openxmlformats.org/officeDocument/2006/relationships/image" Target="../media/image84.jpg"/><Relationship Id="rId43" Type="http://schemas.openxmlformats.org/officeDocument/2006/relationships/image" Target="../media/image99.jpg"/><Relationship Id="rId31" Type="http://schemas.openxmlformats.org/officeDocument/2006/relationships/image" Target="../media/image85.jpg"/><Relationship Id="rId30" Type="http://schemas.openxmlformats.org/officeDocument/2006/relationships/image" Target="../media/image657.jpg"/><Relationship Id="rId33" Type="http://schemas.openxmlformats.org/officeDocument/2006/relationships/image" Target="../media/image104.jpg"/><Relationship Id="rId32" Type="http://schemas.openxmlformats.org/officeDocument/2006/relationships/image" Target="../media/image87.jpg"/><Relationship Id="rId35" Type="http://schemas.openxmlformats.org/officeDocument/2006/relationships/image" Target="../media/image115.jpg"/><Relationship Id="rId34" Type="http://schemas.openxmlformats.org/officeDocument/2006/relationships/image" Target="../media/image70.jpg"/><Relationship Id="rId37" Type="http://schemas.openxmlformats.org/officeDocument/2006/relationships/image" Target="../media/image92.jpg"/><Relationship Id="rId36" Type="http://schemas.openxmlformats.org/officeDocument/2006/relationships/image" Target="../media/image671.jpg"/><Relationship Id="rId39" Type="http://schemas.openxmlformats.org/officeDocument/2006/relationships/image" Target="../media/image176.jpg"/><Relationship Id="rId38" Type="http://schemas.openxmlformats.org/officeDocument/2006/relationships/image" Target="../media/image77.jpg"/><Relationship Id="rId20" Type="http://schemas.openxmlformats.org/officeDocument/2006/relationships/image" Target="../media/image683.jpg"/><Relationship Id="rId22" Type="http://schemas.openxmlformats.org/officeDocument/2006/relationships/image" Target="../media/image75.jpg"/><Relationship Id="rId21" Type="http://schemas.openxmlformats.org/officeDocument/2006/relationships/image" Target="../media/image659.jpg"/><Relationship Id="rId24" Type="http://schemas.openxmlformats.org/officeDocument/2006/relationships/image" Target="../media/image95.jpg"/><Relationship Id="rId23" Type="http://schemas.openxmlformats.org/officeDocument/2006/relationships/image" Target="../media/image78.jpg"/><Relationship Id="rId26" Type="http://schemas.openxmlformats.org/officeDocument/2006/relationships/image" Target="../media/image69.jpg"/><Relationship Id="rId25" Type="http://schemas.openxmlformats.org/officeDocument/2006/relationships/image" Target="../media/image106.jpg"/><Relationship Id="rId28" Type="http://schemas.openxmlformats.org/officeDocument/2006/relationships/image" Target="../media/image81.jpg"/><Relationship Id="rId27" Type="http://schemas.openxmlformats.org/officeDocument/2006/relationships/image" Target="../media/image73.jpg"/><Relationship Id="rId29" Type="http://schemas.openxmlformats.org/officeDocument/2006/relationships/image" Target="../media/image647.jpg"/><Relationship Id="rId11" Type="http://schemas.openxmlformats.org/officeDocument/2006/relationships/image" Target="../media/image98.jpg"/><Relationship Id="rId10" Type="http://schemas.openxmlformats.org/officeDocument/2006/relationships/image" Target="../media/image642.jpg"/><Relationship Id="rId13" Type="http://schemas.openxmlformats.org/officeDocument/2006/relationships/image" Target="../media/image651.jpg"/><Relationship Id="rId12" Type="http://schemas.openxmlformats.org/officeDocument/2006/relationships/image" Target="../media/image643.jpg"/><Relationship Id="rId15" Type="http://schemas.openxmlformats.org/officeDocument/2006/relationships/image" Target="../media/image667.jpg"/><Relationship Id="rId14" Type="http://schemas.openxmlformats.org/officeDocument/2006/relationships/image" Target="../media/image681.jpg"/><Relationship Id="rId17" Type="http://schemas.openxmlformats.org/officeDocument/2006/relationships/image" Target="../media/image116.jpg"/><Relationship Id="rId16" Type="http://schemas.openxmlformats.org/officeDocument/2006/relationships/image" Target="../media/image644.jpg"/><Relationship Id="rId19" Type="http://schemas.openxmlformats.org/officeDocument/2006/relationships/image" Target="../media/image277.jpg"/><Relationship Id="rId18" Type="http://schemas.openxmlformats.org/officeDocument/2006/relationships/image" Target="../media/image90.jpg"/><Relationship Id="rId1" Type="http://schemas.openxmlformats.org/officeDocument/2006/relationships/image" Target="../media/image83.jpg"/><Relationship Id="rId2" Type="http://schemas.openxmlformats.org/officeDocument/2006/relationships/image" Target="../media/image122.jpg"/><Relationship Id="rId3" Type="http://schemas.openxmlformats.org/officeDocument/2006/relationships/image" Target="../media/image132.jpg"/><Relationship Id="rId4" Type="http://schemas.openxmlformats.org/officeDocument/2006/relationships/image" Target="../media/image226.jpg"/><Relationship Id="rId9" Type="http://schemas.openxmlformats.org/officeDocument/2006/relationships/image" Target="../media/image699.jpg"/><Relationship Id="rId5" Type="http://schemas.openxmlformats.org/officeDocument/2006/relationships/image" Target="../media/image674.jpg"/><Relationship Id="rId6" Type="http://schemas.openxmlformats.org/officeDocument/2006/relationships/image" Target="../media/image692.jpg"/><Relationship Id="rId7" Type="http://schemas.openxmlformats.org/officeDocument/2006/relationships/image" Target="../media/image202.jpg"/><Relationship Id="rId8" Type="http://schemas.openxmlformats.org/officeDocument/2006/relationships/image" Target="../media/image63.jpg"/></Relationships>
</file>

<file path=xl/drawings/_rels/drawing22.xml.rels><?xml version="1.0" encoding="UTF-8" standalone="yes"?><Relationships xmlns="http://schemas.openxmlformats.org/package/2006/relationships"><Relationship Id="rId11" Type="http://schemas.openxmlformats.org/officeDocument/2006/relationships/image" Target="../media/image673.jpg"/><Relationship Id="rId10" Type="http://schemas.openxmlformats.org/officeDocument/2006/relationships/image" Target="../media/image646.jpg"/><Relationship Id="rId13" Type="http://schemas.openxmlformats.org/officeDocument/2006/relationships/image" Target="../media/image679.jpg"/><Relationship Id="rId12" Type="http://schemas.openxmlformats.org/officeDocument/2006/relationships/image" Target="../media/image710.jpg"/><Relationship Id="rId14" Type="http://schemas.openxmlformats.org/officeDocument/2006/relationships/image" Target="../media/image656.jpg"/><Relationship Id="rId1" Type="http://schemas.openxmlformats.org/officeDocument/2006/relationships/image" Target="../media/image159.jpg"/><Relationship Id="rId2" Type="http://schemas.openxmlformats.org/officeDocument/2006/relationships/image" Target="../media/image670.jpg"/><Relationship Id="rId3" Type="http://schemas.openxmlformats.org/officeDocument/2006/relationships/image" Target="../media/image158.jpg"/><Relationship Id="rId4" Type="http://schemas.openxmlformats.org/officeDocument/2006/relationships/image" Target="../media/image677.jpg"/><Relationship Id="rId9" Type="http://schemas.openxmlformats.org/officeDocument/2006/relationships/image" Target="../media/image652.jpg"/><Relationship Id="rId5" Type="http://schemas.openxmlformats.org/officeDocument/2006/relationships/image" Target="../media/image675.jpg"/><Relationship Id="rId6" Type="http://schemas.openxmlformats.org/officeDocument/2006/relationships/image" Target="../media/image222.jpg"/><Relationship Id="rId7" Type="http://schemas.openxmlformats.org/officeDocument/2006/relationships/image" Target="../media/image662.jpg"/><Relationship Id="rId8" Type="http://schemas.openxmlformats.org/officeDocument/2006/relationships/image" Target="../media/image668.jpg"/></Relationships>
</file>

<file path=xl/drawings/_rels/drawing23.xml.rels><?xml version="1.0" encoding="UTF-8" standalone="yes"?><Relationships xmlns="http://schemas.openxmlformats.org/package/2006/relationships"><Relationship Id="rId40" Type="http://schemas.openxmlformats.org/officeDocument/2006/relationships/image" Target="../media/image664.jpg"/><Relationship Id="rId42" Type="http://schemas.openxmlformats.org/officeDocument/2006/relationships/image" Target="../media/image6.jpg"/><Relationship Id="rId41" Type="http://schemas.openxmlformats.org/officeDocument/2006/relationships/image" Target="../media/image729.jpg"/><Relationship Id="rId44" Type="http://schemas.openxmlformats.org/officeDocument/2006/relationships/image" Target="../media/image2.jpg"/><Relationship Id="rId43" Type="http://schemas.openxmlformats.org/officeDocument/2006/relationships/image" Target="../media/image676.jpg"/><Relationship Id="rId46" Type="http://schemas.openxmlformats.org/officeDocument/2006/relationships/image" Target="../media/image12.jpg"/><Relationship Id="rId45" Type="http://schemas.openxmlformats.org/officeDocument/2006/relationships/image" Target="../media/image1.jpg"/><Relationship Id="rId48" Type="http://schemas.openxmlformats.org/officeDocument/2006/relationships/image" Target="../media/image26.jpg"/><Relationship Id="rId47" Type="http://schemas.openxmlformats.org/officeDocument/2006/relationships/image" Target="../media/image160.jpg"/><Relationship Id="rId49" Type="http://schemas.openxmlformats.org/officeDocument/2006/relationships/image" Target="../media/image43.jpg"/><Relationship Id="rId31" Type="http://schemas.openxmlformats.org/officeDocument/2006/relationships/image" Target="../media/image10.jpg"/><Relationship Id="rId30" Type="http://schemas.openxmlformats.org/officeDocument/2006/relationships/image" Target="../media/image34.jpg"/><Relationship Id="rId33" Type="http://schemas.openxmlformats.org/officeDocument/2006/relationships/image" Target="../media/image28.jpg"/><Relationship Id="rId32" Type="http://schemas.openxmlformats.org/officeDocument/2006/relationships/image" Target="../media/image686.jpg"/><Relationship Id="rId35" Type="http://schemas.openxmlformats.org/officeDocument/2006/relationships/image" Target="../media/image3.jpg"/><Relationship Id="rId34" Type="http://schemas.openxmlformats.org/officeDocument/2006/relationships/image" Target="../media/image21.jpg"/><Relationship Id="rId37" Type="http://schemas.openxmlformats.org/officeDocument/2006/relationships/image" Target="../media/image672.jpg"/><Relationship Id="rId36" Type="http://schemas.openxmlformats.org/officeDocument/2006/relationships/image" Target="../media/image666.jpg"/><Relationship Id="rId39" Type="http://schemas.openxmlformats.org/officeDocument/2006/relationships/image" Target="../media/image653.jpg"/><Relationship Id="rId38" Type="http://schemas.openxmlformats.org/officeDocument/2006/relationships/image" Target="../media/image14.jpg"/><Relationship Id="rId20" Type="http://schemas.openxmlformats.org/officeDocument/2006/relationships/image" Target="../media/image680.jpg"/><Relationship Id="rId22" Type="http://schemas.openxmlformats.org/officeDocument/2006/relationships/image" Target="../media/image700.jpg"/><Relationship Id="rId21" Type="http://schemas.openxmlformats.org/officeDocument/2006/relationships/image" Target="../media/image54.jpg"/><Relationship Id="rId24" Type="http://schemas.openxmlformats.org/officeDocument/2006/relationships/image" Target="../media/image15.jpg"/><Relationship Id="rId23" Type="http://schemas.openxmlformats.org/officeDocument/2006/relationships/image" Target="../media/image58.jpg"/><Relationship Id="rId26" Type="http://schemas.openxmlformats.org/officeDocument/2006/relationships/image" Target="../media/image252.jpg"/><Relationship Id="rId25" Type="http://schemas.openxmlformats.org/officeDocument/2006/relationships/image" Target="../media/image24.jpg"/><Relationship Id="rId28" Type="http://schemas.openxmlformats.org/officeDocument/2006/relationships/image" Target="../media/image685.jpg"/><Relationship Id="rId27" Type="http://schemas.openxmlformats.org/officeDocument/2006/relationships/image" Target="../media/image706.jpg"/><Relationship Id="rId29" Type="http://schemas.openxmlformats.org/officeDocument/2006/relationships/image" Target="../media/image691.jpg"/><Relationship Id="rId11" Type="http://schemas.openxmlformats.org/officeDocument/2006/relationships/image" Target="../media/image16.jpg"/><Relationship Id="rId10" Type="http://schemas.openxmlformats.org/officeDocument/2006/relationships/image" Target="../media/image23.jpg"/><Relationship Id="rId13" Type="http://schemas.openxmlformats.org/officeDocument/2006/relationships/image" Target="../media/image33.jpg"/><Relationship Id="rId12" Type="http://schemas.openxmlformats.org/officeDocument/2006/relationships/image" Target="../media/image689.jpg"/><Relationship Id="rId15" Type="http://schemas.openxmlformats.org/officeDocument/2006/relationships/image" Target="../media/image690.jpg"/><Relationship Id="rId14" Type="http://schemas.openxmlformats.org/officeDocument/2006/relationships/image" Target="../media/image146.jpg"/><Relationship Id="rId17" Type="http://schemas.openxmlformats.org/officeDocument/2006/relationships/image" Target="../media/image8.jpg"/><Relationship Id="rId16" Type="http://schemas.openxmlformats.org/officeDocument/2006/relationships/image" Target="../media/image31.jpg"/><Relationship Id="rId19" Type="http://schemas.openxmlformats.org/officeDocument/2006/relationships/image" Target="../media/image27.jpg"/><Relationship Id="rId18" Type="http://schemas.openxmlformats.org/officeDocument/2006/relationships/image" Target="../media/image682.jpg"/><Relationship Id="rId1" Type="http://schemas.openxmlformats.org/officeDocument/2006/relationships/image" Target="../media/image128.jpg"/><Relationship Id="rId2" Type="http://schemas.openxmlformats.org/officeDocument/2006/relationships/image" Target="../media/image4.jpg"/><Relationship Id="rId3" Type="http://schemas.openxmlformats.org/officeDocument/2006/relationships/image" Target="../media/image693.jpg"/><Relationship Id="rId4" Type="http://schemas.openxmlformats.org/officeDocument/2006/relationships/image" Target="../media/image684.jpg"/><Relationship Id="rId9" Type="http://schemas.openxmlformats.org/officeDocument/2006/relationships/image" Target="../media/image665.jpg"/><Relationship Id="rId5" Type="http://schemas.openxmlformats.org/officeDocument/2006/relationships/image" Target="../media/image45.jpg"/><Relationship Id="rId6" Type="http://schemas.openxmlformats.org/officeDocument/2006/relationships/image" Target="../media/image86.jpg"/><Relationship Id="rId7" Type="http://schemas.openxmlformats.org/officeDocument/2006/relationships/image" Target="../media/image650.jpg"/><Relationship Id="rId8" Type="http://schemas.openxmlformats.org/officeDocument/2006/relationships/image" Target="../media/image9.jpg"/><Relationship Id="rId51" Type="http://schemas.openxmlformats.org/officeDocument/2006/relationships/image" Target="../media/image57.jpg"/><Relationship Id="rId50" Type="http://schemas.openxmlformats.org/officeDocument/2006/relationships/image" Target="../media/image694.jpg"/><Relationship Id="rId53" Type="http://schemas.openxmlformats.org/officeDocument/2006/relationships/image" Target="../media/image687.jpg"/><Relationship Id="rId52" Type="http://schemas.openxmlformats.org/officeDocument/2006/relationships/image" Target="../media/image688.jpg"/><Relationship Id="rId55" Type="http://schemas.openxmlformats.org/officeDocument/2006/relationships/image" Target="../media/image113.jpg"/><Relationship Id="rId54" Type="http://schemas.openxmlformats.org/officeDocument/2006/relationships/image" Target="../media/image13.jpg"/><Relationship Id="rId57" Type="http://schemas.openxmlformats.org/officeDocument/2006/relationships/image" Target="../media/image40.jpg"/><Relationship Id="rId56" Type="http://schemas.openxmlformats.org/officeDocument/2006/relationships/image" Target="../media/image733.jpg"/><Relationship Id="rId58" Type="http://schemas.openxmlformats.org/officeDocument/2006/relationships/image" Target="../media/image38.jpg"/></Relationships>
</file>

<file path=xl/drawings/_rels/drawing24.xml.rels><?xml version="1.0" encoding="UTF-8" standalone="yes"?><Relationships xmlns="http://schemas.openxmlformats.org/package/2006/relationships"><Relationship Id="rId40" Type="http://schemas.openxmlformats.org/officeDocument/2006/relationships/image" Target="../media/image52.jpg"/><Relationship Id="rId42" Type="http://schemas.openxmlformats.org/officeDocument/2006/relationships/image" Target="../media/image709.jpg"/><Relationship Id="rId41" Type="http://schemas.openxmlformats.org/officeDocument/2006/relationships/image" Target="../media/image62.jpg"/><Relationship Id="rId44" Type="http://schemas.openxmlformats.org/officeDocument/2006/relationships/image" Target="../media/image44.jpg"/><Relationship Id="rId43" Type="http://schemas.openxmlformats.org/officeDocument/2006/relationships/image" Target="../media/image46.jpg"/><Relationship Id="rId46" Type="http://schemas.openxmlformats.org/officeDocument/2006/relationships/image" Target="../media/image41.jpg"/><Relationship Id="rId45" Type="http://schemas.openxmlformats.org/officeDocument/2006/relationships/image" Target="../media/image53.jpg"/><Relationship Id="rId48" Type="http://schemas.openxmlformats.org/officeDocument/2006/relationships/image" Target="../media/image56.jpg"/><Relationship Id="rId47" Type="http://schemas.openxmlformats.org/officeDocument/2006/relationships/image" Target="../media/image137.jpg"/><Relationship Id="rId49" Type="http://schemas.openxmlformats.org/officeDocument/2006/relationships/image" Target="../media/image48.jpg"/><Relationship Id="rId31" Type="http://schemas.openxmlformats.org/officeDocument/2006/relationships/image" Target="../media/image727.jpg"/><Relationship Id="rId30" Type="http://schemas.openxmlformats.org/officeDocument/2006/relationships/image" Target="../media/image72.jpg"/><Relationship Id="rId33" Type="http://schemas.openxmlformats.org/officeDocument/2006/relationships/image" Target="../media/image714.jpg"/><Relationship Id="rId32" Type="http://schemas.openxmlformats.org/officeDocument/2006/relationships/image" Target="../media/image49.jpg"/><Relationship Id="rId35" Type="http://schemas.openxmlformats.org/officeDocument/2006/relationships/image" Target="../media/image720.jpg"/><Relationship Id="rId34" Type="http://schemas.openxmlformats.org/officeDocument/2006/relationships/image" Target="../media/image35.jpg"/><Relationship Id="rId37" Type="http://schemas.openxmlformats.org/officeDocument/2006/relationships/image" Target="../media/image65.jpg"/><Relationship Id="rId36" Type="http://schemas.openxmlformats.org/officeDocument/2006/relationships/image" Target="../media/image55.jpg"/><Relationship Id="rId39" Type="http://schemas.openxmlformats.org/officeDocument/2006/relationships/image" Target="../media/image25.jpg"/><Relationship Id="rId38" Type="http://schemas.openxmlformats.org/officeDocument/2006/relationships/image" Target="../media/image66.jpg"/><Relationship Id="rId20" Type="http://schemas.openxmlformats.org/officeDocument/2006/relationships/image" Target="../media/image32.jpg"/><Relationship Id="rId22" Type="http://schemas.openxmlformats.org/officeDocument/2006/relationships/image" Target="../media/image726.jpg"/><Relationship Id="rId21" Type="http://schemas.openxmlformats.org/officeDocument/2006/relationships/image" Target="../media/image71.jpg"/><Relationship Id="rId24" Type="http://schemas.openxmlformats.org/officeDocument/2006/relationships/image" Target="../media/image37.jpg"/><Relationship Id="rId23" Type="http://schemas.openxmlformats.org/officeDocument/2006/relationships/image" Target="../media/image715.jpg"/><Relationship Id="rId26" Type="http://schemas.openxmlformats.org/officeDocument/2006/relationships/image" Target="../media/image737.jpg"/><Relationship Id="rId25" Type="http://schemas.openxmlformats.org/officeDocument/2006/relationships/image" Target="../media/image18.jpg"/><Relationship Id="rId28" Type="http://schemas.openxmlformats.org/officeDocument/2006/relationships/image" Target="../media/image22.jpg"/><Relationship Id="rId27" Type="http://schemas.openxmlformats.org/officeDocument/2006/relationships/image" Target="../media/image385.jpg"/><Relationship Id="rId29" Type="http://schemas.openxmlformats.org/officeDocument/2006/relationships/image" Target="../media/image722.jpg"/><Relationship Id="rId11" Type="http://schemas.openxmlformats.org/officeDocument/2006/relationships/image" Target="../media/image704.jpg"/><Relationship Id="rId10" Type="http://schemas.openxmlformats.org/officeDocument/2006/relationships/image" Target="../media/image698.jpg"/><Relationship Id="rId13" Type="http://schemas.openxmlformats.org/officeDocument/2006/relationships/image" Target="../media/image701.jpg"/><Relationship Id="rId12" Type="http://schemas.openxmlformats.org/officeDocument/2006/relationships/image" Target="../media/image59.jpg"/><Relationship Id="rId15" Type="http://schemas.openxmlformats.org/officeDocument/2006/relationships/image" Target="../media/image36.jpg"/><Relationship Id="rId14" Type="http://schemas.openxmlformats.org/officeDocument/2006/relationships/image" Target="../media/image757.jpg"/><Relationship Id="rId17" Type="http://schemas.openxmlformats.org/officeDocument/2006/relationships/image" Target="../media/image39.jpg"/><Relationship Id="rId16" Type="http://schemas.openxmlformats.org/officeDocument/2006/relationships/image" Target="../media/image238.jpg"/><Relationship Id="rId19" Type="http://schemas.openxmlformats.org/officeDocument/2006/relationships/image" Target="../media/image716.jpg"/><Relationship Id="rId18" Type="http://schemas.openxmlformats.org/officeDocument/2006/relationships/image" Target="../media/image705.jpg"/><Relationship Id="rId1" Type="http://schemas.openxmlformats.org/officeDocument/2006/relationships/image" Target="../media/image744.jpg"/><Relationship Id="rId2" Type="http://schemas.openxmlformats.org/officeDocument/2006/relationships/image" Target="../media/image171.jpg"/><Relationship Id="rId3" Type="http://schemas.openxmlformats.org/officeDocument/2006/relationships/image" Target="../media/image130.jpg"/><Relationship Id="rId4" Type="http://schemas.openxmlformats.org/officeDocument/2006/relationships/image" Target="../media/image707.jpg"/><Relationship Id="rId9" Type="http://schemas.openxmlformats.org/officeDocument/2006/relationships/image" Target="../media/image30.jpg"/><Relationship Id="rId5" Type="http://schemas.openxmlformats.org/officeDocument/2006/relationships/image" Target="../media/image695.jpg"/><Relationship Id="rId6" Type="http://schemas.openxmlformats.org/officeDocument/2006/relationships/image" Target="../media/image64.jpg"/><Relationship Id="rId7" Type="http://schemas.openxmlformats.org/officeDocument/2006/relationships/image" Target="../media/image696.jpg"/><Relationship Id="rId8" Type="http://schemas.openxmlformats.org/officeDocument/2006/relationships/image" Target="../media/image80.jpg"/><Relationship Id="rId51" Type="http://schemas.openxmlformats.org/officeDocument/2006/relationships/image" Target="../media/image101.jpg"/><Relationship Id="rId50" Type="http://schemas.openxmlformats.org/officeDocument/2006/relationships/image" Target="../media/image79.jpg"/><Relationship Id="rId53" Type="http://schemas.openxmlformats.org/officeDocument/2006/relationships/image" Target="../media/image67.jpg"/><Relationship Id="rId52" Type="http://schemas.openxmlformats.org/officeDocument/2006/relationships/image" Target="../media/image50.jpg"/><Relationship Id="rId55" Type="http://schemas.openxmlformats.org/officeDocument/2006/relationships/image" Target="../media/image68.jpg"/><Relationship Id="rId54" Type="http://schemas.openxmlformats.org/officeDocument/2006/relationships/image" Target="../media/image60.jpg"/><Relationship Id="rId57" Type="http://schemas.openxmlformats.org/officeDocument/2006/relationships/image" Target="../media/image734.jpg"/><Relationship Id="rId56" Type="http://schemas.openxmlformats.org/officeDocument/2006/relationships/image" Target="../media/image76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6.jpg"/><Relationship Id="rId2" Type="http://schemas.openxmlformats.org/officeDocument/2006/relationships/image" Target="../media/image717.jpg"/><Relationship Id="rId3" Type="http://schemas.openxmlformats.org/officeDocument/2006/relationships/image" Target="../media/image662.jpg"/><Relationship Id="rId4" Type="http://schemas.openxmlformats.org/officeDocument/2006/relationships/image" Target="../media/image652.jpg"/><Relationship Id="rId5" Type="http://schemas.openxmlformats.org/officeDocument/2006/relationships/image" Target="../media/image679.jpg"/><Relationship Id="rId6" Type="http://schemas.openxmlformats.org/officeDocument/2006/relationships/image" Target="../media/image675.jpg"/><Relationship Id="rId7" Type="http://schemas.openxmlformats.org/officeDocument/2006/relationships/image" Target="../media/image222.jpg"/></Relationships>
</file>

<file path=xl/drawings/_rels/drawing26.xml.rels><?xml version="1.0" encoding="UTF-8" standalone="yes"?><Relationships xmlns="http://schemas.openxmlformats.org/package/2006/relationships"><Relationship Id="rId20" Type="http://schemas.openxmlformats.org/officeDocument/2006/relationships/image" Target="../media/image738.jpg"/><Relationship Id="rId21" Type="http://schemas.openxmlformats.org/officeDocument/2006/relationships/image" Target="../media/image721.jpg"/><Relationship Id="rId11" Type="http://schemas.openxmlformats.org/officeDocument/2006/relationships/image" Target="../media/image228.jpg"/><Relationship Id="rId10" Type="http://schemas.openxmlformats.org/officeDocument/2006/relationships/image" Target="../media/image725.jpg"/><Relationship Id="rId13" Type="http://schemas.openxmlformats.org/officeDocument/2006/relationships/image" Target="../media/image728.jpg"/><Relationship Id="rId12" Type="http://schemas.openxmlformats.org/officeDocument/2006/relationships/image" Target="../media/image739.jpg"/><Relationship Id="rId15" Type="http://schemas.openxmlformats.org/officeDocument/2006/relationships/image" Target="../media/image777.jpg"/><Relationship Id="rId14" Type="http://schemas.openxmlformats.org/officeDocument/2006/relationships/image" Target="../media/image740.jpg"/><Relationship Id="rId17" Type="http://schemas.openxmlformats.org/officeDocument/2006/relationships/image" Target="../media/image713.jpg"/><Relationship Id="rId16" Type="http://schemas.openxmlformats.org/officeDocument/2006/relationships/image" Target="../media/image747.jpg"/><Relationship Id="rId19" Type="http://schemas.openxmlformats.org/officeDocument/2006/relationships/image" Target="../media/image781.jpg"/><Relationship Id="rId18" Type="http://schemas.openxmlformats.org/officeDocument/2006/relationships/image" Target="../media/image736.jpg"/><Relationship Id="rId1" Type="http://schemas.openxmlformats.org/officeDocument/2006/relationships/image" Target="../media/image221.jpg"/><Relationship Id="rId2" Type="http://schemas.openxmlformats.org/officeDocument/2006/relationships/image" Target="../media/image808.jpg"/><Relationship Id="rId3" Type="http://schemas.openxmlformats.org/officeDocument/2006/relationships/image" Target="../media/image735.jpg"/><Relationship Id="rId4" Type="http://schemas.openxmlformats.org/officeDocument/2006/relationships/image" Target="../media/image712.jpg"/><Relationship Id="rId9" Type="http://schemas.openxmlformats.org/officeDocument/2006/relationships/image" Target="../media/image719.jpg"/><Relationship Id="rId5" Type="http://schemas.openxmlformats.org/officeDocument/2006/relationships/image" Target="../media/image724.jpg"/><Relationship Id="rId6" Type="http://schemas.openxmlformats.org/officeDocument/2006/relationships/image" Target="../media/image718.jpg"/><Relationship Id="rId7" Type="http://schemas.openxmlformats.org/officeDocument/2006/relationships/image" Target="../media/image708.jpg"/><Relationship Id="rId8" Type="http://schemas.openxmlformats.org/officeDocument/2006/relationships/image" Target="../media/image723.jpg"/></Relationships>
</file>

<file path=xl/drawings/_rels/drawing27.xml.rels><?xml version="1.0" encoding="UTF-8" standalone="yes"?><Relationships xmlns="http://schemas.openxmlformats.org/package/2006/relationships"><Relationship Id="rId11" Type="http://schemas.openxmlformats.org/officeDocument/2006/relationships/image" Target="../media/image751.jpg"/><Relationship Id="rId10" Type="http://schemas.openxmlformats.org/officeDocument/2006/relationships/image" Target="../media/image788.jpg"/><Relationship Id="rId13" Type="http://schemas.openxmlformats.org/officeDocument/2006/relationships/image" Target="../media/image746.jpg"/><Relationship Id="rId12" Type="http://schemas.openxmlformats.org/officeDocument/2006/relationships/image" Target="../media/image743.jpg"/><Relationship Id="rId15" Type="http://schemas.openxmlformats.org/officeDocument/2006/relationships/image" Target="../media/image774.jpg"/><Relationship Id="rId14" Type="http://schemas.openxmlformats.org/officeDocument/2006/relationships/image" Target="../media/image748.jpg"/><Relationship Id="rId17" Type="http://schemas.openxmlformats.org/officeDocument/2006/relationships/image" Target="../media/image756.jpg"/><Relationship Id="rId16" Type="http://schemas.openxmlformats.org/officeDocument/2006/relationships/image" Target="../media/image749.jpg"/><Relationship Id="rId18" Type="http://schemas.openxmlformats.org/officeDocument/2006/relationships/image" Target="../media/image759.jpg"/><Relationship Id="rId1" Type="http://schemas.openxmlformats.org/officeDocument/2006/relationships/image" Target="../media/image742.jpg"/><Relationship Id="rId2" Type="http://schemas.openxmlformats.org/officeDocument/2006/relationships/image" Target="../media/image745.jpg"/><Relationship Id="rId3" Type="http://schemas.openxmlformats.org/officeDocument/2006/relationships/image" Target="../media/image732.jpg"/><Relationship Id="rId4" Type="http://schemas.openxmlformats.org/officeDocument/2006/relationships/image" Target="../media/image754.jpg"/><Relationship Id="rId9" Type="http://schemas.openxmlformats.org/officeDocument/2006/relationships/image" Target="../media/image731.jpg"/><Relationship Id="rId5" Type="http://schemas.openxmlformats.org/officeDocument/2006/relationships/image" Target="../media/image730.jpg"/><Relationship Id="rId6" Type="http://schemas.openxmlformats.org/officeDocument/2006/relationships/image" Target="../media/image741.jpg"/><Relationship Id="rId7" Type="http://schemas.openxmlformats.org/officeDocument/2006/relationships/image" Target="../media/image811.jpg"/><Relationship Id="rId8" Type="http://schemas.openxmlformats.org/officeDocument/2006/relationships/image" Target="../media/image758.jpg"/></Relationships>
</file>

<file path=xl/drawings/_rels/drawing28.xml.rels><?xml version="1.0" encoding="UTF-8" standalone="yes"?><Relationships xmlns="http://schemas.openxmlformats.org/package/2006/relationships"><Relationship Id="rId20" Type="http://schemas.openxmlformats.org/officeDocument/2006/relationships/image" Target="../media/image234.jpg"/><Relationship Id="rId22" Type="http://schemas.openxmlformats.org/officeDocument/2006/relationships/image" Target="../media/image799.jpg"/><Relationship Id="rId21" Type="http://schemas.openxmlformats.org/officeDocument/2006/relationships/image" Target="../media/image780.jpg"/><Relationship Id="rId24" Type="http://schemas.openxmlformats.org/officeDocument/2006/relationships/image" Target="../media/image779.jpg"/><Relationship Id="rId23" Type="http://schemas.openxmlformats.org/officeDocument/2006/relationships/image" Target="../media/image760.jpg"/><Relationship Id="rId25" Type="http://schemas.openxmlformats.org/officeDocument/2006/relationships/image" Target="../media/image801.jpg"/><Relationship Id="rId11" Type="http://schemas.openxmlformats.org/officeDocument/2006/relationships/image" Target="../media/image824.jpg"/><Relationship Id="rId10" Type="http://schemas.openxmlformats.org/officeDocument/2006/relationships/image" Target="../media/image768.jpg"/><Relationship Id="rId13" Type="http://schemas.openxmlformats.org/officeDocument/2006/relationships/image" Target="../media/image770.jpg"/><Relationship Id="rId12" Type="http://schemas.openxmlformats.org/officeDocument/2006/relationships/image" Target="../media/image776.jpg"/><Relationship Id="rId15" Type="http://schemas.openxmlformats.org/officeDocument/2006/relationships/image" Target="../media/image753.jpg"/><Relationship Id="rId14" Type="http://schemas.openxmlformats.org/officeDocument/2006/relationships/image" Target="../media/image771.jpg"/><Relationship Id="rId17" Type="http://schemas.openxmlformats.org/officeDocument/2006/relationships/image" Target="../media/image769.jpg"/><Relationship Id="rId16" Type="http://schemas.openxmlformats.org/officeDocument/2006/relationships/image" Target="../media/image761.jpg"/><Relationship Id="rId19" Type="http://schemas.openxmlformats.org/officeDocument/2006/relationships/image" Target="../media/image762.jpg"/><Relationship Id="rId18" Type="http://schemas.openxmlformats.org/officeDocument/2006/relationships/image" Target="../media/image237.jpg"/><Relationship Id="rId1" Type="http://schemas.openxmlformats.org/officeDocument/2006/relationships/image" Target="../media/image778.jpg"/><Relationship Id="rId2" Type="http://schemas.openxmlformats.org/officeDocument/2006/relationships/image" Target="../media/image752.jpg"/><Relationship Id="rId3" Type="http://schemas.openxmlformats.org/officeDocument/2006/relationships/image" Target="../media/image782.jpg"/><Relationship Id="rId4" Type="http://schemas.openxmlformats.org/officeDocument/2006/relationships/image" Target="../media/image755.jpg"/><Relationship Id="rId9" Type="http://schemas.openxmlformats.org/officeDocument/2006/relationships/image" Target="../media/image803.jpg"/><Relationship Id="rId5" Type="http://schemas.openxmlformats.org/officeDocument/2006/relationships/image" Target="../media/image765.jpg"/><Relationship Id="rId6" Type="http://schemas.openxmlformats.org/officeDocument/2006/relationships/image" Target="../media/image772.jpg"/><Relationship Id="rId7" Type="http://schemas.openxmlformats.org/officeDocument/2006/relationships/image" Target="../media/image775.jpg"/><Relationship Id="rId8" Type="http://schemas.openxmlformats.org/officeDocument/2006/relationships/image" Target="../media/image750.jp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5.jpg"/><Relationship Id="rId2" Type="http://schemas.openxmlformats.org/officeDocument/2006/relationships/image" Target="../media/image129.jpg"/><Relationship Id="rId3" Type="http://schemas.openxmlformats.org/officeDocument/2006/relationships/image" Target="../media/image789.jpg"/><Relationship Id="rId4" Type="http://schemas.openxmlformats.org/officeDocument/2006/relationships/image" Target="../media/image201.jpg"/><Relationship Id="rId5" Type="http://schemas.openxmlformats.org/officeDocument/2006/relationships/image" Target="../media/image763.jpg"/><Relationship Id="rId6" Type="http://schemas.openxmlformats.org/officeDocument/2006/relationships/image" Target="../media/image192.jpg"/><Relationship Id="rId7" Type="http://schemas.openxmlformats.org/officeDocument/2006/relationships/image" Target="../media/image767.jpg"/><Relationship Id="rId8" Type="http://schemas.openxmlformats.org/officeDocument/2006/relationships/image" Target="../media/image764.jpg"/></Relationships>
</file>

<file path=xl/drawings/_rels/drawing30.xml.rels><?xml version="1.0" encoding="UTF-8" standalone="yes"?><Relationships xmlns="http://schemas.openxmlformats.org/package/2006/relationships"><Relationship Id="rId11" Type="http://schemas.openxmlformats.org/officeDocument/2006/relationships/image" Target="../media/image207.jpg"/><Relationship Id="rId10" Type="http://schemas.openxmlformats.org/officeDocument/2006/relationships/image" Target="../media/image793.jpg"/><Relationship Id="rId12" Type="http://schemas.openxmlformats.org/officeDocument/2006/relationships/image" Target="../media/image785.jpg"/><Relationship Id="rId1" Type="http://schemas.openxmlformats.org/officeDocument/2006/relationships/image" Target="../media/image182.jpg"/><Relationship Id="rId2" Type="http://schemas.openxmlformats.org/officeDocument/2006/relationships/image" Target="../media/image784.jpg"/><Relationship Id="rId3" Type="http://schemas.openxmlformats.org/officeDocument/2006/relationships/image" Target="../media/image798.jpg"/><Relationship Id="rId4" Type="http://schemas.openxmlformats.org/officeDocument/2006/relationships/image" Target="../media/image783.jpg"/><Relationship Id="rId9" Type="http://schemas.openxmlformats.org/officeDocument/2006/relationships/image" Target="../media/image809.jpg"/><Relationship Id="rId5" Type="http://schemas.openxmlformats.org/officeDocument/2006/relationships/image" Target="../media/image786.jpg"/><Relationship Id="rId6" Type="http://schemas.openxmlformats.org/officeDocument/2006/relationships/image" Target="../media/image804.jpg"/><Relationship Id="rId7" Type="http://schemas.openxmlformats.org/officeDocument/2006/relationships/image" Target="../media/image898.jpg"/><Relationship Id="rId8" Type="http://schemas.openxmlformats.org/officeDocument/2006/relationships/image" Target="../media/image791.jpg"/></Relationships>
</file>

<file path=xl/drawings/_rels/drawing31.xml.rels><?xml version="1.0" encoding="UTF-8" standalone="yes"?><Relationships xmlns="http://schemas.openxmlformats.org/package/2006/relationships"><Relationship Id="rId20" Type="http://schemas.openxmlformats.org/officeDocument/2006/relationships/image" Target="../media/image741.jpg"/><Relationship Id="rId22" Type="http://schemas.openxmlformats.org/officeDocument/2006/relationships/image" Target="../media/image788.jpg"/><Relationship Id="rId21" Type="http://schemas.openxmlformats.org/officeDocument/2006/relationships/image" Target="../media/image811.jpg"/><Relationship Id="rId24" Type="http://schemas.openxmlformats.org/officeDocument/2006/relationships/image" Target="../media/image749.jpg"/><Relationship Id="rId23" Type="http://schemas.openxmlformats.org/officeDocument/2006/relationships/image" Target="../media/image774.jpg"/><Relationship Id="rId26" Type="http://schemas.openxmlformats.org/officeDocument/2006/relationships/image" Target="../media/image748.jpg"/><Relationship Id="rId25" Type="http://schemas.openxmlformats.org/officeDocument/2006/relationships/image" Target="../media/image743.jpg"/><Relationship Id="rId11" Type="http://schemas.openxmlformats.org/officeDocument/2006/relationships/image" Target="../media/image790.jpg"/><Relationship Id="rId10" Type="http://schemas.openxmlformats.org/officeDocument/2006/relationships/image" Target="../media/image810.jpg"/><Relationship Id="rId13" Type="http://schemas.openxmlformats.org/officeDocument/2006/relationships/image" Target="../media/image759.jpg"/><Relationship Id="rId12" Type="http://schemas.openxmlformats.org/officeDocument/2006/relationships/image" Target="../media/image731.jpg"/><Relationship Id="rId15" Type="http://schemas.openxmlformats.org/officeDocument/2006/relationships/image" Target="../media/image754.jpg"/><Relationship Id="rId14" Type="http://schemas.openxmlformats.org/officeDocument/2006/relationships/image" Target="../media/image814.jpg"/><Relationship Id="rId17" Type="http://schemas.openxmlformats.org/officeDocument/2006/relationships/image" Target="../media/image732.jpg"/><Relationship Id="rId16" Type="http://schemas.openxmlformats.org/officeDocument/2006/relationships/image" Target="../media/image795.jpg"/><Relationship Id="rId19" Type="http://schemas.openxmlformats.org/officeDocument/2006/relationships/image" Target="../media/image746.jpg"/><Relationship Id="rId18" Type="http://schemas.openxmlformats.org/officeDocument/2006/relationships/image" Target="../media/image745.jpg"/><Relationship Id="rId1" Type="http://schemas.openxmlformats.org/officeDocument/2006/relationships/image" Target="../media/image792.jpg"/><Relationship Id="rId2" Type="http://schemas.openxmlformats.org/officeDocument/2006/relationships/image" Target="../media/image812.jpg"/><Relationship Id="rId3" Type="http://schemas.openxmlformats.org/officeDocument/2006/relationships/image" Target="../media/image820.jpg"/><Relationship Id="rId4" Type="http://schemas.openxmlformats.org/officeDocument/2006/relationships/image" Target="../media/image730.jpg"/><Relationship Id="rId9" Type="http://schemas.openxmlformats.org/officeDocument/2006/relationships/image" Target="../media/image223.jpg"/><Relationship Id="rId5" Type="http://schemas.openxmlformats.org/officeDocument/2006/relationships/image" Target="../media/image141.jpg"/><Relationship Id="rId6" Type="http://schemas.openxmlformats.org/officeDocument/2006/relationships/image" Target="../media/image758.jpg"/><Relationship Id="rId7" Type="http://schemas.openxmlformats.org/officeDocument/2006/relationships/image" Target="../media/image751.jpg"/><Relationship Id="rId8" Type="http://schemas.openxmlformats.org/officeDocument/2006/relationships/image" Target="../media/image800.jpg"/></Relationships>
</file>

<file path=xl/drawings/_rels/drawing3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51.jpg"/><Relationship Id="rId10" Type="http://schemas.openxmlformats.org/officeDocument/2006/relationships/image" Target="../media/image831.jpg"/><Relationship Id="rId13" Type="http://schemas.openxmlformats.org/officeDocument/2006/relationships/image" Target="../media/image815.jpg"/><Relationship Id="rId12" Type="http://schemas.openxmlformats.org/officeDocument/2006/relationships/image" Target="../media/image823.jpg"/><Relationship Id="rId15" Type="http://schemas.openxmlformats.org/officeDocument/2006/relationships/image" Target="../media/image805.jpg"/><Relationship Id="rId14" Type="http://schemas.openxmlformats.org/officeDocument/2006/relationships/image" Target="../media/image837.jpg"/><Relationship Id="rId17" Type="http://schemas.openxmlformats.org/officeDocument/2006/relationships/image" Target="../media/image817.jpg"/><Relationship Id="rId16" Type="http://schemas.openxmlformats.org/officeDocument/2006/relationships/image" Target="../media/image835.jpg"/><Relationship Id="rId19" Type="http://schemas.openxmlformats.org/officeDocument/2006/relationships/image" Target="../media/image816.jpg"/><Relationship Id="rId18" Type="http://schemas.openxmlformats.org/officeDocument/2006/relationships/image" Target="../media/image856.jpg"/><Relationship Id="rId1" Type="http://schemas.openxmlformats.org/officeDocument/2006/relationships/image" Target="../media/image806.jpg"/><Relationship Id="rId2" Type="http://schemas.openxmlformats.org/officeDocument/2006/relationships/image" Target="../media/image250.jpg"/><Relationship Id="rId3" Type="http://schemas.openxmlformats.org/officeDocument/2006/relationships/image" Target="../media/image818.jpg"/><Relationship Id="rId4" Type="http://schemas.openxmlformats.org/officeDocument/2006/relationships/image" Target="../media/image826.jpg"/><Relationship Id="rId9" Type="http://schemas.openxmlformats.org/officeDocument/2006/relationships/image" Target="../media/image822.jpg"/><Relationship Id="rId5" Type="http://schemas.openxmlformats.org/officeDocument/2006/relationships/image" Target="../media/image864.jpg"/><Relationship Id="rId6" Type="http://schemas.openxmlformats.org/officeDocument/2006/relationships/image" Target="../media/image830.jpg"/><Relationship Id="rId7" Type="http://schemas.openxmlformats.org/officeDocument/2006/relationships/image" Target="../media/image807.jpg"/><Relationship Id="rId8" Type="http://schemas.openxmlformats.org/officeDocument/2006/relationships/image" Target="../media/image827.jpg"/></Relationships>
</file>

<file path=xl/drawings/_rels/drawing33.xml.rels><?xml version="1.0" encoding="UTF-8" standalone="yes"?><Relationships xmlns="http://schemas.openxmlformats.org/package/2006/relationships"><Relationship Id="rId31" Type="http://schemas.openxmlformats.org/officeDocument/2006/relationships/image" Target="../media/image849.jpg"/><Relationship Id="rId30" Type="http://schemas.openxmlformats.org/officeDocument/2006/relationships/image" Target="../media/image259.jpg"/><Relationship Id="rId33" Type="http://schemas.openxmlformats.org/officeDocument/2006/relationships/image" Target="../media/image739.jpg"/><Relationship Id="rId32" Type="http://schemas.openxmlformats.org/officeDocument/2006/relationships/image" Target="../media/image721.jpg"/><Relationship Id="rId35" Type="http://schemas.openxmlformats.org/officeDocument/2006/relationships/image" Target="../media/image781.jpg"/><Relationship Id="rId34" Type="http://schemas.openxmlformats.org/officeDocument/2006/relationships/image" Target="../media/image725.jpg"/><Relationship Id="rId36" Type="http://schemas.openxmlformats.org/officeDocument/2006/relationships/image" Target="../media/image738.jpg"/><Relationship Id="rId20" Type="http://schemas.openxmlformats.org/officeDocument/2006/relationships/image" Target="../media/image828.jpg"/><Relationship Id="rId22" Type="http://schemas.openxmlformats.org/officeDocument/2006/relationships/image" Target="../media/image713.jpg"/><Relationship Id="rId21" Type="http://schemas.openxmlformats.org/officeDocument/2006/relationships/image" Target="../media/image262.jpg"/><Relationship Id="rId24" Type="http://schemas.openxmlformats.org/officeDocument/2006/relationships/image" Target="../media/image895.jpg"/><Relationship Id="rId23" Type="http://schemas.openxmlformats.org/officeDocument/2006/relationships/image" Target="../media/image846.jpg"/><Relationship Id="rId26" Type="http://schemas.openxmlformats.org/officeDocument/2006/relationships/image" Target="../media/image740.jpg"/><Relationship Id="rId25" Type="http://schemas.openxmlformats.org/officeDocument/2006/relationships/image" Target="../media/image839.jpg"/><Relationship Id="rId28" Type="http://schemas.openxmlformats.org/officeDocument/2006/relationships/image" Target="../media/image708.jpg"/><Relationship Id="rId27" Type="http://schemas.openxmlformats.org/officeDocument/2006/relationships/image" Target="../media/image723.jpg"/><Relationship Id="rId29" Type="http://schemas.openxmlformats.org/officeDocument/2006/relationships/image" Target="../media/image228.jpg"/><Relationship Id="rId11" Type="http://schemas.openxmlformats.org/officeDocument/2006/relationships/image" Target="../media/image813.jpg"/><Relationship Id="rId10" Type="http://schemas.openxmlformats.org/officeDocument/2006/relationships/image" Target="../media/image747.jpg"/><Relationship Id="rId13" Type="http://schemas.openxmlformats.org/officeDocument/2006/relationships/image" Target="../media/image821.jpg"/><Relationship Id="rId12" Type="http://schemas.openxmlformats.org/officeDocument/2006/relationships/image" Target="../media/image736.jpg"/><Relationship Id="rId15" Type="http://schemas.openxmlformats.org/officeDocument/2006/relationships/image" Target="../media/image825.jpg"/><Relationship Id="rId14" Type="http://schemas.openxmlformats.org/officeDocument/2006/relationships/image" Target="../media/image221.jpg"/><Relationship Id="rId17" Type="http://schemas.openxmlformats.org/officeDocument/2006/relationships/image" Target="../media/image840.jpg"/><Relationship Id="rId16" Type="http://schemas.openxmlformats.org/officeDocument/2006/relationships/image" Target="../media/image724.jpg"/><Relationship Id="rId19" Type="http://schemas.openxmlformats.org/officeDocument/2006/relationships/image" Target="../media/image880.jpg"/><Relationship Id="rId18" Type="http://schemas.openxmlformats.org/officeDocument/2006/relationships/image" Target="../media/image836.jpg"/><Relationship Id="rId1" Type="http://schemas.openxmlformats.org/officeDocument/2006/relationships/image" Target="../media/image808.jpg"/><Relationship Id="rId2" Type="http://schemas.openxmlformats.org/officeDocument/2006/relationships/image" Target="../media/image819.jpg"/><Relationship Id="rId3" Type="http://schemas.openxmlformats.org/officeDocument/2006/relationships/image" Target="../media/image777.jpg"/><Relationship Id="rId4" Type="http://schemas.openxmlformats.org/officeDocument/2006/relationships/image" Target="../media/image224.jpg"/><Relationship Id="rId9" Type="http://schemas.openxmlformats.org/officeDocument/2006/relationships/image" Target="../media/image829.jpg"/><Relationship Id="rId5" Type="http://schemas.openxmlformats.org/officeDocument/2006/relationships/image" Target="../media/image719.jpg"/><Relationship Id="rId6" Type="http://schemas.openxmlformats.org/officeDocument/2006/relationships/image" Target="../media/image832.jpg"/><Relationship Id="rId7" Type="http://schemas.openxmlformats.org/officeDocument/2006/relationships/image" Target="../media/image841.jpg"/><Relationship Id="rId8" Type="http://schemas.openxmlformats.org/officeDocument/2006/relationships/image" Target="../media/image728.jpg"/></Relationships>
</file>

<file path=xl/drawings/_rels/drawing34.xml.rels><?xml version="1.0" encoding="UTF-8" standalone="yes"?><Relationships xmlns="http://schemas.openxmlformats.org/package/2006/relationships"><Relationship Id="rId31" Type="http://schemas.openxmlformats.org/officeDocument/2006/relationships/image" Target="../media/image848.jpg"/><Relationship Id="rId30" Type="http://schemas.openxmlformats.org/officeDocument/2006/relationships/image" Target="../media/image862.jpg"/><Relationship Id="rId33" Type="http://schemas.openxmlformats.org/officeDocument/2006/relationships/image" Target="../media/image853.jpg"/><Relationship Id="rId32" Type="http://schemas.openxmlformats.org/officeDocument/2006/relationships/image" Target="../media/image859.jpg"/><Relationship Id="rId34" Type="http://schemas.openxmlformats.org/officeDocument/2006/relationships/image" Target="../media/image871.jpg"/><Relationship Id="rId20" Type="http://schemas.openxmlformats.org/officeDocument/2006/relationships/image" Target="../media/image865.jpg"/><Relationship Id="rId22" Type="http://schemas.openxmlformats.org/officeDocument/2006/relationships/image" Target="../media/image850.jpg"/><Relationship Id="rId21" Type="http://schemas.openxmlformats.org/officeDocument/2006/relationships/image" Target="../media/image858.jpg"/><Relationship Id="rId24" Type="http://schemas.openxmlformats.org/officeDocument/2006/relationships/image" Target="../media/image891.jpg"/><Relationship Id="rId23" Type="http://schemas.openxmlformats.org/officeDocument/2006/relationships/image" Target="../media/image866.jpg"/><Relationship Id="rId26" Type="http://schemas.openxmlformats.org/officeDocument/2006/relationships/image" Target="../media/image901.jpg"/><Relationship Id="rId25" Type="http://schemas.openxmlformats.org/officeDocument/2006/relationships/image" Target="../media/image276.jpg"/><Relationship Id="rId28" Type="http://schemas.openxmlformats.org/officeDocument/2006/relationships/image" Target="../media/image878.jpg"/><Relationship Id="rId27" Type="http://schemas.openxmlformats.org/officeDocument/2006/relationships/image" Target="../media/image873.jpg"/><Relationship Id="rId29" Type="http://schemas.openxmlformats.org/officeDocument/2006/relationships/image" Target="../media/image868.jpg"/><Relationship Id="rId11" Type="http://schemas.openxmlformats.org/officeDocument/2006/relationships/image" Target="../media/image140.jpg"/><Relationship Id="rId10" Type="http://schemas.openxmlformats.org/officeDocument/2006/relationships/image" Target="../media/image845.jpg"/><Relationship Id="rId13" Type="http://schemas.openxmlformats.org/officeDocument/2006/relationships/image" Target="../media/image870.jpg"/><Relationship Id="rId12" Type="http://schemas.openxmlformats.org/officeDocument/2006/relationships/image" Target="../media/image855.jpg"/><Relationship Id="rId15" Type="http://schemas.openxmlformats.org/officeDocument/2006/relationships/image" Target="../media/image852.jpg"/><Relationship Id="rId14" Type="http://schemas.openxmlformats.org/officeDocument/2006/relationships/image" Target="../media/image843.jpg"/><Relationship Id="rId17" Type="http://schemas.openxmlformats.org/officeDocument/2006/relationships/image" Target="../media/image869.jpg"/><Relationship Id="rId16" Type="http://schemas.openxmlformats.org/officeDocument/2006/relationships/image" Target="../media/image881.jpg"/><Relationship Id="rId19" Type="http://schemas.openxmlformats.org/officeDocument/2006/relationships/image" Target="../media/image838.jpg"/><Relationship Id="rId18" Type="http://schemas.openxmlformats.org/officeDocument/2006/relationships/image" Target="../media/image863.jpg"/><Relationship Id="rId1" Type="http://schemas.openxmlformats.org/officeDocument/2006/relationships/image" Target="../media/image283.jpg"/><Relationship Id="rId2" Type="http://schemas.openxmlformats.org/officeDocument/2006/relationships/image" Target="../media/image842.jpg"/><Relationship Id="rId3" Type="http://schemas.openxmlformats.org/officeDocument/2006/relationships/image" Target="../media/image834.jpg"/><Relationship Id="rId4" Type="http://schemas.openxmlformats.org/officeDocument/2006/relationships/image" Target="../media/image833.jpg"/><Relationship Id="rId9" Type="http://schemas.openxmlformats.org/officeDocument/2006/relationships/image" Target="../media/image844.jpg"/><Relationship Id="rId5" Type="http://schemas.openxmlformats.org/officeDocument/2006/relationships/image" Target="../media/image887.jpg"/><Relationship Id="rId6" Type="http://schemas.openxmlformats.org/officeDocument/2006/relationships/image" Target="../media/image847.jpg"/><Relationship Id="rId7" Type="http://schemas.openxmlformats.org/officeDocument/2006/relationships/image" Target="../media/image854.jpg"/><Relationship Id="rId8" Type="http://schemas.openxmlformats.org/officeDocument/2006/relationships/image" Target="../media/image205.jpg"/></Relationships>
</file>

<file path=xl/drawings/_rels/drawing35.xml.rels><?xml version="1.0" encoding="UTF-8" standalone="yes"?><Relationships xmlns="http://schemas.openxmlformats.org/package/2006/relationships"><Relationship Id="rId40" Type="http://schemas.openxmlformats.org/officeDocument/2006/relationships/image" Target="../media/image780.jpg"/><Relationship Id="rId41" Type="http://schemas.openxmlformats.org/officeDocument/2006/relationships/image" Target="../media/image801.jpg"/><Relationship Id="rId31" Type="http://schemas.openxmlformats.org/officeDocument/2006/relationships/image" Target="../media/image761.jpg"/><Relationship Id="rId30" Type="http://schemas.openxmlformats.org/officeDocument/2006/relationships/image" Target="../media/image753.jpg"/><Relationship Id="rId33" Type="http://schemas.openxmlformats.org/officeDocument/2006/relationships/image" Target="../media/image768.jpg"/><Relationship Id="rId32" Type="http://schemas.openxmlformats.org/officeDocument/2006/relationships/image" Target="../media/image803.jpg"/><Relationship Id="rId35" Type="http://schemas.openxmlformats.org/officeDocument/2006/relationships/image" Target="../media/image750.jpg"/><Relationship Id="rId34" Type="http://schemas.openxmlformats.org/officeDocument/2006/relationships/image" Target="../media/image824.jpg"/><Relationship Id="rId37" Type="http://schemas.openxmlformats.org/officeDocument/2006/relationships/image" Target="../media/image762.jpg"/><Relationship Id="rId36" Type="http://schemas.openxmlformats.org/officeDocument/2006/relationships/image" Target="../media/image776.jpg"/><Relationship Id="rId39" Type="http://schemas.openxmlformats.org/officeDocument/2006/relationships/image" Target="../media/image799.jpg"/><Relationship Id="rId38" Type="http://schemas.openxmlformats.org/officeDocument/2006/relationships/image" Target="../media/image237.jpg"/><Relationship Id="rId20" Type="http://schemas.openxmlformats.org/officeDocument/2006/relationships/image" Target="../media/image765.jpg"/><Relationship Id="rId22" Type="http://schemas.openxmlformats.org/officeDocument/2006/relationships/image" Target="../media/image234.jpg"/><Relationship Id="rId21" Type="http://schemas.openxmlformats.org/officeDocument/2006/relationships/image" Target="../media/image883.jpg"/><Relationship Id="rId24" Type="http://schemas.openxmlformats.org/officeDocument/2006/relationships/image" Target="../media/image872.jpg"/><Relationship Id="rId23" Type="http://schemas.openxmlformats.org/officeDocument/2006/relationships/image" Target="../media/image874.jpg"/><Relationship Id="rId26" Type="http://schemas.openxmlformats.org/officeDocument/2006/relationships/image" Target="../media/image779.jpg"/><Relationship Id="rId25" Type="http://schemas.openxmlformats.org/officeDocument/2006/relationships/image" Target="../media/image899.jpg"/><Relationship Id="rId28" Type="http://schemas.openxmlformats.org/officeDocument/2006/relationships/image" Target="../media/image931.jpg"/><Relationship Id="rId27" Type="http://schemas.openxmlformats.org/officeDocument/2006/relationships/image" Target="../media/image775.jpg"/><Relationship Id="rId29" Type="http://schemas.openxmlformats.org/officeDocument/2006/relationships/image" Target="../media/image782.jpg"/><Relationship Id="rId11" Type="http://schemas.openxmlformats.org/officeDocument/2006/relationships/image" Target="../media/image771.jpg"/><Relationship Id="rId10" Type="http://schemas.openxmlformats.org/officeDocument/2006/relationships/image" Target="../media/image967.jpg"/><Relationship Id="rId13" Type="http://schemas.openxmlformats.org/officeDocument/2006/relationships/image" Target="../media/image220.jpg"/><Relationship Id="rId12" Type="http://schemas.openxmlformats.org/officeDocument/2006/relationships/image" Target="../media/image892.jpg"/><Relationship Id="rId15" Type="http://schemas.openxmlformats.org/officeDocument/2006/relationships/image" Target="../media/image760.jpg"/><Relationship Id="rId14" Type="http://schemas.openxmlformats.org/officeDocument/2006/relationships/image" Target="../media/image752.jpg"/><Relationship Id="rId17" Type="http://schemas.openxmlformats.org/officeDocument/2006/relationships/image" Target="../media/image755.jpg"/><Relationship Id="rId16" Type="http://schemas.openxmlformats.org/officeDocument/2006/relationships/image" Target="../media/image857.jpg"/><Relationship Id="rId19" Type="http://schemas.openxmlformats.org/officeDocument/2006/relationships/image" Target="../media/image867.jpg"/><Relationship Id="rId18" Type="http://schemas.openxmlformats.org/officeDocument/2006/relationships/image" Target="../media/image861.jpg"/><Relationship Id="rId1" Type="http://schemas.openxmlformats.org/officeDocument/2006/relationships/image" Target="../media/image904.jpg"/><Relationship Id="rId2" Type="http://schemas.openxmlformats.org/officeDocument/2006/relationships/image" Target="../media/image860.jpg"/><Relationship Id="rId3" Type="http://schemas.openxmlformats.org/officeDocument/2006/relationships/image" Target="../media/image255.jpg"/><Relationship Id="rId4" Type="http://schemas.openxmlformats.org/officeDocument/2006/relationships/image" Target="../media/image893.jpg"/><Relationship Id="rId9" Type="http://schemas.openxmlformats.org/officeDocument/2006/relationships/image" Target="../media/image213.jpg"/><Relationship Id="rId5" Type="http://schemas.openxmlformats.org/officeDocument/2006/relationships/image" Target="../media/image216.jpg"/><Relationship Id="rId6" Type="http://schemas.openxmlformats.org/officeDocument/2006/relationships/image" Target="../media/image897.jpg"/><Relationship Id="rId7" Type="http://schemas.openxmlformats.org/officeDocument/2006/relationships/image" Target="../media/image778.jpg"/><Relationship Id="rId8" Type="http://schemas.openxmlformats.org/officeDocument/2006/relationships/image" Target="../media/image882.jp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8.jpg"/><Relationship Id="rId2" Type="http://schemas.openxmlformats.org/officeDocument/2006/relationships/image" Target="../media/image894.jpg"/><Relationship Id="rId3" Type="http://schemas.openxmlformats.org/officeDocument/2006/relationships/image" Target="../media/image124.jpg"/><Relationship Id="rId4" Type="http://schemas.openxmlformats.org/officeDocument/2006/relationships/image" Target="../media/image121.jpg"/><Relationship Id="rId5" Type="http://schemas.openxmlformats.org/officeDocument/2006/relationships/image" Target="../media/image147.jpg"/><Relationship Id="rId6" Type="http://schemas.openxmlformats.org/officeDocument/2006/relationships/image" Target="../media/image161.jpg"/><Relationship Id="rId7" Type="http://schemas.openxmlformats.org/officeDocument/2006/relationships/image" Target="../media/image884.jpg"/><Relationship Id="rId8" Type="http://schemas.openxmlformats.org/officeDocument/2006/relationships/image" Target="../media/image170.jpg"/></Relationships>
</file>

<file path=xl/drawings/_rels/drawing37.xml.rels><?xml version="1.0" encoding="UTF-8" standalone="yes"?><Relationships xmlns="http://schemas.openxmlformats.org/package/2006/relationships"><Relationship Id="rId11" Type="http://schemas.openxmlformats.org/officeDocument/2006/relationships/image" Target="../media/image430.jpg"/><Relationship Id="rId10" Type="http://schemas.openxmlformats.org/officeDocument/2006/relationships/image" Target="../media/image442.jpg"/><Relationship Id="rId13" Type="http://schemas.openxmlformats.org/officeDocument/2006/relationships/image" Target="../media/image264.jpg"/><Relationship Id="rId12" Type="http://schemas.openxmlformats.org/officeDocument/2006/relationships/image" Target="../media/image902.jpg"/><Relationship Id="rId15" Type="http://schemas.openxmlformats.org/officeDocument/2006/relationships/image" Target="../media/image565.jpg"/><Relationship Id="rId14" Type="http://schemas.openxmlformats.org/officeDocument/2006/relationships/image" Target="../media/image922.jpg"/><Relationship Id="rId17" Type="http://schemas.openxmlformats.org/officeDocument/2006/relationships/image" Target="../media/image975.jpg"/><Relationship Id="rId16" Type="http://schemas.openxmlformats.org/officeDocument/2006/relationships/image" Target="../media/image550.jpg"/><Relationship Id="rId18" Type="http://schemas.openxmlformats.org/officeDocument/2006/relationships/image" Target="../media/image380.jpg"/><Relationship Id="rId1" Type="http://schemas.openxmlformats.org/officeDocument/2006/relationships/image" Target="../media/image300.jpg"/><Relationship Id="rId2" Type="http://schemas.openxmlformats.org/officeDocument/2006/relationships/image" Target="../media/image142.jpg"/><Relationship Id="rId3" Type="http://schemas.openxmlformats.org/officeDocument/2006/relationships/image" Target="../media/image269.jpg"/><Relationship Id="rId4" Type="http://schemas.openxmlformats.org/officeDocument/2006/relationships/image" Target="../media/image350.jpg"/><Relationship Id="rId9" Type="http://schemas.openxmlformats.org/officeDocument/2006/relationships/image" Target="../media/image383.jpg"/><Relationship Id="rId5" Type="http://schemas.openxmlformats.org/officeDocument/2006/relationships/image" Target="../media/image917.jpg"/><Relationship Id="rId6" Type="http://schemas.openxmlformats.org/officeDocument/2006/relationships/image" Target="../media/image377.jpg"/><Relationship Id="rId7" Type="http://schemas.openxmlformats.org/officeDocument/2006/relationships/image" Target="../media/image906.jpg"/><Relationship Id="rId8" Type="http://schemas.openxmlformats.org/officeDocument/2006/relationships/image" Target="../media/image401.jpg"/></Relationships>
</file>

<file path=xl/drawings/_rels/drawing38.xml.rels><?xml version="1.0" encoding="UTF-8" standalone="yes"?><Relationships xmlns="http://schemas.openxmlformats.org/package/2006/relationships"><Relationship Id="rId40" Type="http://schemas.openxmlformats.org/officeDocument/2006/relationships/image" Target="../media/image965.jpg"/><Relationship Id="rId42" Type="http://schemas.openxmlformats.org/officeDocument/2006/relationships/image" Target="../media/image1109.jpg"/><Relationship Id="rId41" Type="http://schemas.openxmlformats.org/officeDocument/2006/relationships/image" Target="../media/image980.jpg"/><Relationship Id="rId44" Type="http://schemas.openxmlformats.org/officeDocument/2006/relationships/image" Target="../media/image966.jpg"/><Relationship Id="rId43" Type="http://schemas.openxmlformats.org/officeDocument/2006/relationships/image" Target="../media/image165.jpg"/><Relationship Id="rId46" Type="http://schemas.openxmlformats.org/officeDocument/2006/relationships/image" Target="../media/image954.jpg"/><Relationship Id="rId45" Type="http://schemas.openxmlformats.org/officeDocument/2006/relationships/image" Target="../media/image279.jpg"/><Relationship Id="rId107" Type="http://schemas.openxmlformats.org/officeDocument/2006/relationships/image" Target="../media/image998.jpg"/><Relationship Id="rId106" Type="http://schemas.openxmlformats.org/officeDocument/2006/relationships/image" Target="../media/image993.jpg"/><Relationship Id="rId105" Type="http://schemas.openxmlformats.org/officeDocument/2006/relationships/image" Target="../media/image1013.jpg"/><Relationship Id="rId104" Type="http://schemas.openxmlformats.org/officeDocument/2006/relationships/image" Target="../media/image1114.jpg"/><Relationship Id="rId109" Type="http://schemas.openxmlformats.org/officeDocument/2006/relationships/image" Target="../media/image1006.jpg"/><Relationship Id="rId108" Type="http://schemas.openxmlformats.org/officeDocument/2006/relationships/image" Target="../media/image1000.jpg"/><Relationship Id="rId48" Type="http://schemas.openxmlformats.org/officeDocument/2006/relationships/image" Target="../media/image937.jpg"/><Relationship Id="rId47" Type="http://schemas.openxmlformats.org/officeDocument/2006/relationships/image" Target="../media/image958.jpg"/><Relationship Id="rId49" Type="http://schemas.openxmlformats.org/officeDocument/2006/relationships/image" Target="../media/image933.jpg"/><Relationship Id="rId103" Type="http://schemas.openxmlformats.org/officeDocument/2006/relationships/image" Target="../media/image990.jpg"/><Relationship Id="rId102" Type="http://schemas.openxmlformats.org/officeDocument/2006/relationships/image" Target="../media/image1001.jpg"/><Relationship Id="rId101" Type="http://schemas.openxmlformats.org/officeDocument/2006/relationships/image" Target="../media/image986.jpg"/><Relationship Id="rId100" Type="http://schemas.openxmlformats.org/officeDocument/2006/relationships/image" Target="../media/image1004.jpg"/><Relationship Id="rId31" Type="http://schemas.openxmlformats.org/officeDocument/2006/relationships/image" Target="../media/image957.jpg"/><Relationship Id="rId30" Type="http://schemas.openxmlformats.org/officeDocument/2006/relationships/image" Target="../media/image929.jpg"/><Relationship Id="rId33" Type="http://schemas.openxmlformats.org/officeDocument/2006/relationships/image" Target="../media/image935.jpg"/><Relationship Id="rId32" Type="http://schemas.openxmlformats.org/officeDocument/2006/relationships/image" Target="../media/image934.jpg"/><Relationship Id="rId35" Type="http://schemas.openxmlformats.org/officeDocument/2006/relationships/image" Target="../media/image940.jpg"/><Relationship Id="rId34" Type="http://schemas.openxmlformats.org/officeDocument/2006/relationships/image" Target="../media/image943.jpg"/><Relationship Id="rId37" Type="http://schemas.openxmlformats.org/officeDocument/2006/relationships/image" Target="../media/image938.jpg"/><Relationship Id="rId36" Type="http://schemas.openxmlformats.org/officeDocument/2006/relationships/image" Target="../media/image151.jpg"/><Relationship Id="rId39" Type="http://schemas.openxmlformats.org/officeDocument/2006/relationships/image" Target="../media/image118.jpg"/><Relationship Id="rId38" Type="http://schemas.openxmlformats.org/officeDocument/2006/relationships/image" Target="../media/image959.jpg"/><Relationship Id="rId20" Type="http://schemas.openxmlformats.org/officeDocument/2006/relationships/image" Target="../media/image936.jpg"/><Relationship Id="rId22" Type="http://schemas.openxmlformats.org/officeDocument/2006/relationships/image" Target="../media/image945.jpg"/><Relationship Id="rId21" Type="http://schemas.openxmlformats.org/officeDocument/2006/relationships/image" Target="../media/image915.jpg"/><Relationship Id="rId24" Type="http://schemas.openxmlformats.org/officeDocument/2006/relationships/image" Target="../media/image921.jpg"/><Relationship Id="rId23" Type="http://schemas.openxmlformats.org/officeDocument/2006/relationships/image" Target="../media/image927.jpg"/><Relationship Id="rId129" Type="http://schemas.openxmlformats.org/officeDocument/2006/relationships/image" Target="../media/image1031.jpg"/><Relationship Id="rId128" Type="http://schemas.openxmlformats.org/officeDocument/2006/relationships/image" Target="../media/image1118.jpg"/><Relationship Id="rId127" Type="http://schemas.openxmlformats.org/officeDocument/2006/relationships/image" Target="../media/image1021.jpg"/><Relationship Id="rId126" Type="http://schemas.openxmlformats.org/officeDocument/2006/relationships/image" Target="../media/image1043.jpg"/><Relationship Id="rId26" Type="http://schemas.openxmlformats.org/officeDocument/2006/relationships/image" Target="../media/image924.jpg"/><Relationship Id="rId121" Type="http://schemas.openxmlformats.org/officeDocument/2006/relationships/image" Target="../media/image1024.jpg"/><Relationship Id="rId25" Type="http://schemas.openxmlformats.org/officeDocument/2006/relationships/image" Target="../media/image947.jpg"/><Relationship Id="rId120" Type="http://schemas.openxmlformats.org/officeDocument/2006/relationships/image" Target="../media/image1019.jpg"/><Relationship Id="rId28" Type="http://schemas.openxmlformats.org/officeDocument/2006/relationships/image" Target="../media/image1069.jpg"/><Relationship Id="rId27" Type="http://schemas.openxmlformats.org/officeDocument/2006/relationships/image" Target="../media/image920.jpg"/><Relationship Id="rId125" Type="http://schemas.openxmlformats.org/officeDocument/2006/relationships/image" Target="../media/image1046.jpg"/><Relationship Id="rId29" Type="http://schemas.openxmlformats.org/officeDocument/2006/relationships/image" Target="../media/image996.jpg"/><Relationship Id="rId124" Type="http://schemas.openxmlformats.org/officeDocument/2006/relationships/image" Target="../media/image1022.jpg"/><Relationship Id="rId123" Type="http://schemas.openxmlformats.org/officeDocument/2006/relationships/image" Target="../media/image1009.jpg"/><Relationship Id="rId122" Type="http://schemas.openxmlformats.org/officeDocument/2006/relationships/image" Target="../media/image1014.jpg"/><Relationship Id="rId95" Type="http://schemas.openxmlformats.org/officeDocument/2006/relationships/image" Target="../media/image1003.jpg"/><Relationship Id="rId94" Type="http://schemas.openxmlformats.org/officeDocument/2006/relationships/image" Target="../media/image974.jpg"/><Relationship Id="rId97" Type="http://schemas.openxmlformats.org/officeDocument/2006/relationships/image" Target="../media/image987.jpg"/><Relationship Id="rId96" Type="http://schemas.openxmlformats.org/officeDocument/2006/relationships/image" Target="../media/image991.jpg"/><Relationship Id="rId11" Type="http://schemas.openxmlformats.org/officeDocument/2006/relationships/image" Target="../media/image913.jpg"/><Relationship Id="rId99" Type="http://schemas.openxmlformats.org/officeDocument/2006/relationships/image" Target="../media/image997.jpg"/><Relationship Id="rId10" Type="http://schemas.openxmlformats.org/officeDocument/2006/relationships/image" Target="../media/image905.jpg"/><Relationship Id="rId98" Type="http://schemas.openxmlformats.org/officeDocument/2006/relationships/image" Target="../media/image994.jpg"/><Relationship Id="rId13" Type="http://schemas.openxmlformats.org/officeDocument/2006/relationships/image" Target="../media/image919.jpg"/><Relationship Id="rId12" Type="http://schemas.openxmlformats.org/officeDocument/2006/relationships/image" Target="../media/image909.jpg"/><Relationship Id="rId91" Type="http://schemas.openxmlformats.org/officeDocument/2006/relationships/image" Target="../media/image985.jpg"/><Relationship Id="rId90" Type="http://schemas.openxmlformats.org/officeDocument/2006/relationships/image" Target="../media/image982.jpg"/><Relationship Id="rId93" Type="http://schemas.openxmlformats.org/officeDocument/2006/relationships/image" Target="../media/image1112.jpg"/><Relationship Id="rId92" Type="http://schemas.openxmlformats.org/officeDocument/2006/relationships/image" Target="../media/image1012.jpg"/><Relationship Id="rId118" Type="http://schemas.openxmlformats.org/officeDocument/2006/relationships/image" Target="../media/image1025.jpg"/><Relationship Id="rId117" Type="http://schemas.openxmlformats.org/officeDocument/2006/relationships/image" Target="../media/image1030.jpg"/><Relationship Id="rId116" Type="http://schemas.openxmlformats.org/officeDocument/2006/relationships/image" Target="../media/image1113.jpg"/><Relationship Id="rId115" Type="http://schemas.openxmlformats.org/officeDocument/2006/relationships/image" Target="../media/image1011.jpg"/><Relationship Id="rId119" Type="http://schemas.openxmlformats.org/officeDocument/2006/relationships/image" Target="../media/image1015.jpg"/><Relationship Id="rId15" Type="http://schemas.openxmlformats.org/officeDocument/2006/relationships/image" Target="../media/image918.jpg"/><Relationship Id="rId110" Type="http://schemas.openxmlformats.org/officeDocument/2006/relationships/image" Target="../media/image995.jpg"/><Relationship Id="rId14" Type="http://schemas.openxmlformats.org/officeDocument/2006/relationships/image" Target="../media/image131.jpg"/><Relationship Id="rId17" Type="http://schemas.openxmlformats.org/officeDocument/2006/relationships/image" Target="../media/image946.jpg"/><Relationship Id="rId16" Type="http://schemas.openxmlformats.org/officeDocument/2006/relationships/image" Target="../media/image1044.jpg"/><Relationship Id="rId19" Type="http://schemas.openxmlformats.org/officeDocument/2006/relationships/image" Target="../media/image926.jpg"/><Relationship Id="rId114" Type="http://schemas.openxmlformats.org/officeDocument/2006/relationships/image" Target="../media/image1018.jpg"/><Relationship Id="rId18" Type="http://schemas.openxmlformats.org/officeDocument/2006/relationships/image" Target="../media/image914.jpg"/><Relationship Id="rId113" Type="http://schemas.openxmlformats.org/officeDocument/2006/relationships/image" Target="../media/image1017.jpg"/><Relationship Id="rId112" Type="http://schemas.openxmlformats.org/officeDocument/2006/relationships/image" Target="../media/image1010.jpg"/><Relationship Id="rId111" Type="http://schemas.openxmlformats.org/officeDocument/2006/relationships/image" Target="../media/image1016.jpg"/><Relationship Id="rId84" Type="http://schemas.openxmlformats.org/officeDocument/2006/relationships/image" Target="../media/image977.jpg"/><Relationship Id="rId83" Type="http://schemas.openxmlformats.org/officeDocument/2006/relationships/image" Target="../media/image1002.jpg"/><Relationship Id="rId86" Type="http://schemas.openxmlformats.org/officeDocument/2006/relationships/image" Target="../media/image979.jpg"/><Relationship Id="rId85" Type="http://schemas.openxmlformats.org/officeDocument/2006/relationships/image" Target="../media/image989.jpg"/><Relationship Id="rId88" Type="http://schemas.openxmlformats.org/officeDocument/2006/relationships/image" Target="../media/image1005.jpg"/><Relationship Id="rId87" Type="http://schemas.openxmlformats.org/officeDocument/2006/relationships/image" Target="../media/image978.jpg"/><Relationship Id="rId89" Type="http://schemas.openxmlformats.org/officeDocument/2006/relationships/image" Target="../media/image988.jpg"/><Relationship Id="rId80" Type="http://schemas.openxmlformats.org/officeDocument/2006/relationships/image" Target="../media/image1083.jpg"/><Relationship Id="rId82" Type="http://schemas.openxmlformats.org/officeDocument/2006/relationships/image" Target="../media/image971.jpg"/><Relationship Id="rId81" Type="http://schemas.openxmlformats.org/officeDocument/2006/relationships/image" Target="../media/image1007.jpg"/><Relationship Id="rId1" Type="http://schemas.openxmlformats.org/officeDocument/2006/relationships/image" Target="../media/image154.jpg"/><Relationship Id="rId2" Type="http://schemas.openxmlformats.org/officeDocument/2006/relationships/image" Target="../media/image117.jpg"/><Relationship Id="rId3" Type="http://schemas.openxmlformats.org/officeDocument/2006/relationships/image" Target="../media/image119.jpg"/><Relationship Id="rId4" Type="http://schemas.openxmlformats.org/officeDocument/2006/relationships/image" Target="../media/image912.jpg"/><Relationship Id="rId9" Type="http://schemas.openxmlformats.org/officeDocument/2006/relationships/image" Target="../media/image135.jpg"/><Relationship Id="rId140" Type="http://schemas.openxmlformats.org/officeDocument/2006/relationships/image" Target="../media/image1123.jpg"/><Relationship Id="rId5" Type="http://schemas.openxmlformats.org/officeDocument/2006/relationships/image" Target="../media/image923.jpg"/><Relationship Id="rId6" Type="http://schemas.openxmlformats.org/officeDocument/2006/relationships/image" Target="../media/image126.jpg"/><Relationship Id="rId7" Type="http://schemas.openxmlformats.org/officeDocument/2006/relationships/image" Target="../media/image952.jpg"/><Relationship Id="rId8" Type="http://schemas.openxmlformats.org/officeDocument/2006/relationships/image" Target="../media/image911.jpg"/><Relationship Id="rId73" Type="http://schemas.openxmlformats.org/officeDocument/2006/relationships/image" Target="../media/image969.jpg"/><Relationship Id="rId72" Type="http://schemas.openxmlformats.org/officeDocument/2006/relationships/image" Target="../media/image961.jpg"/><Relationship Id="rId75" Type="http://schemas.openxmlformats.org/officeDocument/2006/relationships/image" Target="../media/image992.jpg"/><Relationship Id="rId74" Type="http://schemas.openxmlformats.org/officeDocument/2006/relationships/image" Target="../media/image972.jpg"/><Relationship Id="rId77" Type="http://schemas.openxmlformats.org/officeDocument/2006/relationships/image" Target="../media/image976.jpg"/><Relationship Id="rId76" Type="http://schemas.openxmlformats.org/officeDocument/2006/relationships/image" Target="../media/image968.jpg"/><Relationship Id="rId79" Type="http://schemas.openxmlformats.org/officeDocument/2006/relationships/image" Target="../media/image984.jpg"/><Relationship Id="rId78" Type="http://schemas.openxmlformats.org/officeDocument/2006/relationships/image" Target="../media/image981.jpg"/><Relationship Id="rId71" Type="http://schemas.openxmlformats.org/officeDocument/2006/relationships/image" Target="../media/image963.jpg"/><Relationship Id="rId70" Type="http://schemas.openxmlformats.org/officeDocument/2006/relationships/image" Target="../media/image962.jpg"/><Relationship Id="rId139" Type="http://schemas.openxmlformats.org/officeDocument/2006/relationships/image" Target="../media/image1032.jpg"/><Relationship Id="rId138" Type="http://schemas.openxmlformats.org/officeDocument/2006/relationships/image" Target="../media/image1036.jpg"/><Relationship Id="rId137" Type="http://schemas.openxmlformats.org/officeDocument/2006/relationships/image" Target="../media/image1020.jpg"/><Relationship Id="rId132" Type="http://schemas.openxmlformats.org/officeDocument/2006/relationships/image" Target="../media/image1049.jpg"/><Relationship Id="rId131" Type="http://schemas.openxmlformats.org/officeDocument/2006/relationships/image" Target="../media/image1028.jpg"/><Relationship Id="rId130" Type="http://schemas.openxmlformats.org/officeDocument/2006/relationships/image" Target="../media/image1042.jpg"/><Relationship Id="rId136" Type="http://schemas.openxmlformats.org/officeDocument/2006/relationships/image" Target="../media/image1033.jpg"/><Relationship Id="rId135" Type="http://schemas.openxmlformats.org/officeDocument/2006/relationships/image" Target="../media/image1023.jpg"/><Relationship Id="rId134" Type="http://schemas.openxmlformats.org/officeDocument/2006/relationships/image" Target="../media/image1037.jpg"/><Relationship Id="rId133" Type="http://schemas.openxmlformats.org/officeDocument/2006/relationships/image" Target="../media/image1055.jpg"/><Relationship Id="rId62" Type="http://schemas.openxmlformats.org/officeDocument/2006/relationships/image" Target="../media/image953.jpg"/><Relationship Id="rId61" Type="http://schemas.openxmlformats.org/officeDocument/2006/relationships/image" Target="../media/image970.jpg"/><Relationship Id="rId64" Type="http://schemas.openxmlformats.org/officeDocument/2006/relationships/image" Target="../media/image964.jpg"/><Relationship Id="rId63" Type="http://schemas.openxmlformats.org/officeDocument/2006/relationships/image" Target="../media/image955.jpg"/><Relationship Id="rId66" Type="http://schemas.openxmlformats.org/officeDocument/2006/relationships/image" Target="../media/image960.jpg"/><Relationship Id="rId65" Type="http://schemas.openxmlformats.org/officeDocument/2006/relationships/image" Target="../media/image973.jpg"/><Relationship Id="rId68" Type="http://schemas.openxmlformats.org/officeDocument/2006/relationships/image" Target="../media/image1110.jpg"/><Relationship Id="rId67" Type="http://schemas.openxmlformats.org/officeDocument/2006/relationships/image" Target="../media/image983.jpg"/><Relationship Id="rId60" Type="http://schemas.openxmlformats.org/officeDocument/2006/relationships/image" Target="../media/image930.jpg"/><Relationship Id="rId69" Type="http://schemas.openxmlformats.org/officeDocument/2006/relationships/image" Target="../media/image1008.jpg"/><Relationship Id="rId51" Type="http://schemas.openxmlformats.org/officeDocument/2006/relationships/image" Target="../media/image928.jpg"/><Relationship Id="rId50" Type="http://schemas.openxmlformats.org/officeDocument/2006/relationships/image" Target="../media/image941.jpg"/><Relationship Id="rId53" Type="http://schemas.openxmlformats.org/officeDocument/2006/relationships/image" Target="../media/image942.jpg"/><Relationship Id="rId52" Type="http://schemas.openxmlformats.org/officeDocument/2006/relationships/image" Target="../media/image939.jpg"/><Relationship Id="rId55" Type="http://schemas.openxmlformats.org/officeDocument/2006/relationships/image" Target="../media/image951.jpg"/><Relationship Id="rId54" Type="http://schemas.openxmlformats.org/officeDocument/2006/relationships/image" Target="../media/image944.jpg"/><Relationship Id="rId57" Type="http://schemas.openxmlformats.org/officeDocument/2006/relationships/image" Target="../media/image999.jpg"/><Relationship Id="rId56" Type="http://schemas.openxmlformats.org/officeDocument/2006/relationships/image" Target="../media/image1029.jpg"/><Relationship Id="rId59" Type="http://schemas.openxmlformats.org/officeDocument/2006/relationships/image" Target="../media/image950.jpg"/><Relationship Id="rId58" Type="http://schemas.openxmlformats.org/officeDocument/2006/relationships/image" Target="../media/image956.jpg"/></Relationships>
</file>

<file path=xl/drawings/_rels/drawing39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92.jpg"/><Relationship Id="rId42" Type="http://schemas.openxmlformats.org/officeDocument/2006/relationships/image" Target="../media/image1126.jpg"/><Relationship Id="rId41" Type="http://schemas.openxmlformats.org/officeDocument/2006/relationships/image" Target="../media/image1070.jpg"/><Relationship Id="rId44" Type="http://schemas.openxmlformats.org/officeDocument/2006/relationships/image" Target="../media/image1080.jpg"/><Relationship Id="rId43" Type="http://schemas.openxmlformats.org/officeDocument/2006/relationships/image" Target="../media/image1068.jpg"/><Relationship Id="rId46" Type="http://schemas.openxmlformats.org/officeDocument/2006/relationships/image" Target="../media/image1081.jpg"/><Relationship Id="rId45" Type="http://schemas.openxmlformats.org/officeDocument/2006/relationships/image" Target="../media/image1076.jpg"/><Relationship Id="rId107" Type="http://schemas.openxmlformats.org/officeDocument/2006/relationships/image" Target="../media/image1150.jpg"/><Relationship Id="rId106" Type="http://schemas.openxmlformats.org/officeDocument/2006/relationships/image" Target="../media/image1157.jpg"/><Relationship Id="rId105" Type="http://schemas.openxmlformats.org/officeDocument/2006/relationships/image" Target="../media/image1138.jpg"/><Relationship Id="rId104" Type="http://schemas.openxmlformats.org/officeDocument/2006/relationships/image" Target="../media/image1151.jpg"/><Relationship Id="rId109" Type="http://schemas.openxmlformats.org/officeDocument/2006/relationships/image" Target="../media/image1207.jpg"/><Relationship Id="rId108" Type="http://schemas.openxmlformats.org/officeDocument/2006/relationships/image" Target="../media/image1146.jpg"/><Relationship Id="rId48" Type="http://schemas.openxmlformats.org/officeDocument/2006/relationships/image" Target="../media/image1177.jpg"/><Relationship Id="rId47" Type="http://schemas.openxmlformats.org/officeDocument/2006/relationships/image" Target="../media/image1106.jpg"/><Relationship Id="rId49" Type="http://schemas.openxmlformats.org/officeDocument/2006/relationships/image" Target="../media/image1072.jpg"/><Relationship Id="rId103" Type="http://schemas.openxmlformats.org/officeDocument/2006/relationships/image" Target="../media/image1143.jpg"/><Relationship Id="rId102" Type="http://schemas.openxmlformats.org/officeDocument/2006/relationships/image" Target="../media/image1140.jpg"/><Relationship Id="rId101" Type="http://schemas.openxmlformats.org/officeDocument/2006/relationships/image" Target="../media/image1122.jpg"/><Relationship Id="rId100" Type="http://schemas.openxmlformats.org/officeDocument/2006/relationships/image" Target="../media/image1160.jpg"/><Relationship Id="rId31" Type="http://schemas.openxmlformats.org/officeDocument/2006/relationships/image" Target="../media/image1061.jpg"/><Relationship Id="rId30" Type="http://schemas.openxmlformats.org/officeDocument/2006/relationships/image" Target="../media/image1066.jpg"/><Relationship Id="rId33" Type="http://schemas.openxmlformats.org/officeDocument/2006/relationships/image" Target="../media/image1094.jpg"/><Relationship Id="rId32" Type="http://schemas.openxmlformats.org/officeDocument/2006/relationships/image" Target="../media/image1073.jpg"/><Relationship Id="rId35" Type="http://schemas.openxmlformats.org/officeDocument/2006/relationships/image" Target="../media/image1077.jpg"/><Relationship Id="rId34" Type="http://schemas.openxmlformats.org/officeDocument/2006/relationships/image" Target="../media/image1086.jpg"/><Relationship Id="rId37" Type="http://schemas.openxmlformats.org/officeDocument/2006/relationships/image" Target="../media/image1093.jpg"/><Relationship Id="rId36" Type="http://schemas.openxmlformats.org/officeDocument/2006/relationships/image" Target="../media/image1155.jpg"/><Relationship Id="rId39" Type="http://schemas.openxmlformats.org/officeDocument/2006/relationships/image" Target="../media/image1074.jpg"/><Relationship Id="rId38" Type="http://schemas.openxmlformats.org/officeDocument/2006/relationships/image" Target="../media/image1078.jpg"/><Relationship Id="rId20" Type="http://schemas.openxmlformats.org/officeDocument/2006/relationships/image" Target="../media/image1059.jpg"/><Relationship Id="rId22" Type="http://schemas.openxmlformats.org/officeDocument/2006/relationships/image" Target="../media/image1063.jpg"/><Relationship Id="rId21" Type="http://schemas.openxmlformats.org/officeDocument/2006/relationships/image" Target="../media/image1067.jpg"/><Relationship Id="rId24" Type="http://schemas.openxmlformats.org/officeDocument/2006/relationships/image" Target="../media/image1075.jpg"/><Relationship Id="rId23" Type="http://schemas.openxmlformats.org/officeDocument/2006/relationships/image" Target="../media/image1054.jpg"/><Relationship Id="rId26" Type="http://schemas.openxmlformats.org/officeDocument/2006/relationships/image" Target="../media/image1058.jpg"/><Relationship Id="rId121" Type="http://schemas.openxmlformats.org/officeDocument/2006/relationships/image" Target="../media/image1192.jpg"/><Relationship Id="rId25" Type="http://schemas.openxmlformats.org/officeDocument/2006/relationships/image" Target="../media/image1125.jpg"/><Relationship Id="rId120" Type="http://schemas.openxmlformats.org/officeDocument/2006/relationships/image" Target="../media/image1202.jpg"/><Relationship Id="rId28" Type="http://schemas.openxmlformats.org/officeDocument/2006/relationships/image" Target="../media/image1065.jpg"/><Relationship Id="rId27" Type="http://schemas.openxmlformats.org/officeDocument/2006/relationships/image" Target="../media/image1064.jpg"/><Relationship Id="rId29" Type="http://schemas.openxmlformats.org/officeDocument/2006/relationships/image" Target="../media/image1060.jpg"/><Relationship Id="rId123" Type="http://schemas.openxmlformats.org/officeDocument/2006/relationships/image" Target="../media/image1162.jpg"/><Relationship Id="rId122" Type="http://schemas.openxmlformats.org/officeDocument/2006/relationships/image" Target="../media/image1148.jpg"/><Relationship Id="rId95" Type="http://schemas.openxmlformats.org/officeDocument/2006/relationships/image" Target="../media/image1161.jpg"/><Relationship Id="rId94" Type="http://schemas.openxmlformats.org/officeDocument/2006/relationships/image" Target="../media/image1166.jpg"/><Relationship Id="rId97" Type="http://schemas.openxmlformats.org/officeDocument/2006/relationships/image" Target="../media/image1144.jpg"/><Relationship Id="rId96" Type="http://schemas.openxmlformats.org/officeDocument/2006/relationships/image" Target="../media/image1188.jpg"/><Relationship Id="rId11" Type="http://schemas.openxmlformats.org/officeDocument/2006/relationships/image" Target="../media/image1047.jpg"/><Relationship Id="rId99" Type="http://schemas.openxmlformats.org/officeDocument/2006/relationships/image" Target="../media/image1130.jpg"/><Relationship Id="rId10" Type="http://schemas.openxmlformats.org/officeDocument/2006/relationships/image" Target="../media/image1045.jpg"/><Relationship Id="rId98" Type="http://schemas.openxmlformats.org/officeDocument/2006/relationships/image" Target="../media/image1120.jpg"/><Relationship Id="rId13" Type="http://schemas.openxmlformats.org/officeDocument/2006/relationships/image" Target="../media/image1153.jpg"/><Relationship Id="rId12" Type="http://schemas.openxmlformats.org/officeDocument/2006/relationships/image" Target="../media/image1048.jpg"/><Relationship Id="rId91" Type="http://schemas.openxmlformats.org/officeDocument/2006/relationships/image" Target="../media/image1107.jpg"/><Relationship Id="rId90" Type="http://schemas.openxmlformats.org/officeDocument/2006/relationships/image" Target="../media/image1137.jpg"/><Relationship Id="rId93" Type="http://schemas.openxmlformats.org/officeDocument/2006/relationships/image" Target="../media/image1128.jpg"/><Relationship Id="rId92" Type="http://schemas.openxmlformats.org/officeDocument/2006/relationships/image" Target="../media/image1149.jpg"/><Relationship Id="rId118" Type="http://schemas.openxmlformats.org/officeDocument/2006/relationships/image" Target="../media/image1164.jpg"/><Relationship Id="rId117" Type="http://schemas.openxmlformats.org/officeDocument/2006/relationships/image" Target="../media/image1158.jpg"/><Relationship Id="rId116" Type="http://schemas.openxmlformats.org/officeDocument/2006/relationships/image" Target="../media/image1152.jpg"/><Relationship Id="rId115" Type="http://schemas.openxmlformats.org/officeDocument/2006/relationships/image" Target="../media/image1156.jpg"/><Relationship Id="rId119" Type="http://schemas.openxmlformats.org/officeDocument/2006/relationships/image" Target="../media/image1168.jpg"/><Relationship Id="rId15" Type="http://schemas.openxmlformats.org/officeDocument/2006/relationships/image" Target="../media/image1057.jpg"/><Relationship Id="rId110" Type="http://schemas.openxmlformats.org/officeDocument/2006/relationships/image" Target="../media/image1159.jpg"/><Relationship Id="rId14" Type="http://schemas.openxmlformats.org/officeDocument/2006/relationships/image" Target="../media/image1035.jpg"/><Relationship Id="rId17" Type="http://schemas.openxmlformats.org/officeDocument/2006/relationships/image" Target="../media/image1053.jpg"/><Relationship Id="rId16" Type="http://schemas.openxmlformats.org/officeDocument/2006/relationships/image" Target="../media/image1051.jpg"/><Relationship Id="rId19" Type="http://schemas.openxmlformats.org/officeDocument/2006/relationships/image" Target="../media/image1050.jpg"/><Relationship Id="rId114" Type="http://schemas.openxmlformats.org/officeDocument/2006/relationships/image" Target="../media/image1141.jpg"/><Relationship Id="rId18" Type="http://schemas.openxmlformats.org/officeDocument/2006/relationships/image" Target="../media/image1062.jpg"/><Relationship Id="rId113" Type="http://schemas.openxmlformats.org/officeDocument/2006/relationships/image" Target="../media/image1147.jpg"/><Relationship Id="rId112" Type="http://schemas.openxmlformats.org/officeDocument/2006/relationships/image" Target="../media/image1154.jpg"/><Relationship Id="rId111" Type="http://schemas.openxmlformats.org/officeDocument/2006/relationships/image" Target="../media/image1145.jpg"/><Relationship Id="rId84" Type="http://schemas.openxmlformats.org/officeDocument/2006/relationships/image" Target="../media/image1189.jpg"/><Relationship Id="rId83" Type="http://schemas.openxmlformats.org/officeDocument/2006/relationships/image" Target="../media/image1127.jpg"/><Relationship Id="rId86" Type="http://schemas.openxmlformats.org/officeDocument/2006/relationships/image" Target="../media/image1135.jpg"/><Relationship Id="rId85" Type="http://schemas.openxmlformats.org/officeDocument/2006/relationships/image" Target="../media/image1121.jpg"/><Relationship Id="rId88" Type="http://schemas.openxmlformats.org/officeDocument/2006/relationships/image" Target="../media/image1129.jpg"/><Relationship Id="rId87" Type="http://schemas.openxmlformats.org/officeDocument/2006/relationships/image" Target="../media/image1117.jpg"/><Relationship Id="rId89" Type="http://schemas.openxmlformats.org/officeDocument/2006/relationships/image" Target="../media/image1105.jpg"/><Relationship Id="rId80" Type="http://schemas.openxmlformats.org/officeDocument/2006/relationships/image" Target="../media/image1142.jpg"/><Relationship Id="rId82" Type="http://schemas.openxmlformats.org/officeDocument/2006/relationships/image" Target="../media/image1124.jpg"/><Relationship Id="rId81" Type="http://schemas.openxmlformats.org/officeDocument/2006/relationships/image" Target="../media/image1139.jpg"/><Relationship Id="rId1" Type="http://schemas.openxmlformats.org/officeDocument/2006/relationships/image" Target="../media/image1026.jpg"/><Relationship Id="rId2" Type="http://schemas.openxmlformats.org/officeDocument/2006/relationships/image" Target="../media/image1038.jpg"/><Relationship Id="rId3" Type="http://schemas.openxmlformats.org/officeDocument/2006/relationships/image" Target="../media/image1052.jpg"/><Relationship Id="rId4" Type="http://schemas.openxmlformats.org/officeDocument/2006/relationships/image" Target="../media/image1041.jpg"/><Relationship Id="rId9" Type="http://schemas.openxmlformats.org/officeDocument/2006/relationships/image" Target="../media/image1056.jpg"/><Relationship Id="rId5" Type="http://schemas.openxmlformats.org/officeDocument/2006/relationships/image" Target="../media/image1040.jpg"/><Relationship Id="rId6" Type="http://schemas.openxmlformats.org/officeDocument/2006/relationships/image" Target="../media/image1034.jpg"/><Relationship Id="rId7" Type="http://schemas.openxmlformats.org/officeDocument/2006/relationships/image" Target="../media/image1027.jpg"/><Relationship Id="rId8" Type="http://schemas.openxmlformats.org/officeDocument/2006/relationships/image" Target="../media/image1039.jpg"/><Relationship Id="rId73" Type="http://schemas.openxmlformats.org/officeDocument/2006/relationships/image" Target="../media/image1134.jpg"/><Relationship Id="rId72" Type="http://schemas.openxmlformats.org/officeDocument/2006/relationships/image" Target="../media/image1165.jpg"/><Relationship Id="rId75" Type="http://schemas.openxmlformats.org/officeDocument/2006/relationships/image" Target="../media/image1115.jpg"/><Relationship Id="rId74" Type="http://schemas.openxmlformats.org/officeDocument/2006/relationships/image" Target="../media/image1099.jpg"/><Relationship Id="rId77" Type="http://schemas.openxmlformats.org/officeDocument/2006/relationships/image" Target="../media/image1102.jpg"/><Relationship Id="rId76" Type="http://schemas.openxmlformats.org/officeDocument/2006/relationships/image" Target="../media/image1103.jpg"/><Relationship Id="rId79" Type="http://schemas.openxmlformats.org/officeDocument/2006/relationships/image" Target="../media/image1111.jpg"/><Relationship Id="rId78" Type="http://schemas.openxmlformats.org/officeDocument/2006/relationships/image" Target="../media/image1101.jpg"/><Relationship Id="rId71" Type="http://schemas.openxmlformats.org/officeDocument/2006/relationships/image" Target="../media/image1091.jpg"/><Relationship Id="rId70" Type="http://schemas.openxmlformats.org/officeDocument/2006/relationships/image" Target="../media/image1095.jpg"/><Relationship Id="rId62" Type="http://schemas.openxmlformats.org/officeDocument/2006/relationships/image" Target="../media/image1082.jpg"/><Relationship Id="rId61" Type="http://schemas.openxmlformats.org/officeDocument/2006/relationships/image" Target="../media/image1119.jpg"/><Relationship Id="rId64" Type="http://schemas.openxmlformats.org/officeDocument/2006/relationships/image" Target="../media/image1088.jpg"/><Relationship Id="rId63" Type="http://schemas.openxmlformats.org/officeDocument/2006/relationships/image" Target="../media/image1097.jpg"/><Relationship Id="rId66" Type="http://schemas.openxmlformats.org/officeDocument/2006/relationships/image" Target="../media/image1087.jpg"/><Relationship Id="rId65" Type="http://schemas.openxmlformats.org/officeDocument/2006/relationships/image" Target="../media/image1089.jpg"/><Relationship Id="rId68" Type="http://schemas.openxmlformats.org/officeDocument/2006/relationships/image" Target="../media/image1100.jpg"/><Relationship Id="rId67" Type="http://schemas.openxmlformats.org/officeDocument/2006/relationships/image" Target="../media/image1096.jpg"/><Relationship Id="rId60" Type="http://schemas.openxmlformats.org/officeDocument/2006/relationships/image" Target="../media/image1136.jpg"/><Relationship Id="rId69" Type="http://schemas.openxmlformats.org/officeDocument/2006/relationships/image" Target="../media/image1090.jpg"/><Relationship Id="rId51" Type="http://schemas.openxmlformats.org/officeDocument/2006/relationships/image" Target="../media/image1085.jpg"/><Relationship Id="rId50" Type="http://schemas.openxmlformats.org/officeDocument/2006/relationships/image" Target="../media/image1071.jpg"/><Relationship Id="rId53" Type="http://schemas.openxmlformats.org/officeDocument/2006/relationships/image" Target="../media/image1131.jpg"/><Relationship Id="rId52" Type="http://schemas.openxmlformats.org/officeDocument/2006/relationships/image" Target="../media/image1084.jpg"/><Relationship Id="rId55" Type="http://schemas.openxmlformats.org/officeDocument/2006/relationships/image" Target="../media/image1133.jpg"/><Relationship Id="rId54" Type="http://schemas.openxmlformats.org/officeDocument/2006/relationships/image" Target="../media/image1079.jpg"/><Relationship Id="rId57" Type="http://schemas.openxmlformats.org/officeDocument/2006/relationships/image" Target="../media/image1132.jpg"/><Relationship Id="rId56" Type="http://schemas.openxmlformats.org/officeDocument/2006/relationships/image" Target="../media/image1116.jpg"/><Relationship Id="rId59" Type="http://schemas.openxmlformats.org/officeDocument/2006/relationships/image" Target="../media/image1098.jpg"/><Relationship Id="rId58" Type="http://schemas.openxmlformats.org/officeDocument/2006/relationships/image" Target="../media/image1108.jpg"/></Relationships>
</file>

<file path=xl/drawings/_rels/drawing40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41.jpg"/><Relationship Id="rId42" Type="http://schemas.openxmlformats.org/officeDocument/2006/relationships/image" Target="../media/image1108.jpg"/><Relationship Id="rId41" Type="http://schemas.openxmlformats.org/officeDocument/2006/relationships/image" Target="../media/image1101.jpg"/><Relationship Id="rId44" Type="http://schemas.openxmlformats.org/officeDocument/2006/relationships/image" Target="../media/image1166.jpg"/><Relationship Id="rId43" Type="http://schemas.openxmlformats.org/officeDocument/2006/relationships/image" Target="../media/image1088.jpg"/><Relationship Id="rId46" Type="http://schemas.openxmlformats.org/officeDocument/2006/relationships/image" Target="../media/image1065.jpg"/><Relationship Id="rId45" Type="http://schemas.openxmlformats.org/officeDocument/2006/relationships/image" Target="../media/image1153.jpg"/><Relationship Id="rId107" Type="http://schemas.openxmlformats.org/officeDocument/2006/relationships/image" Target="../media/image1071.jpg"/><Relationship Id="rId106" Type="http://schemas.openxmlformats.org/officeDocument/2006/relationships/image" Target="../media/image1116.jpg"/><Relationship Id="rId105" Type="http://schemas.openxmlformats.org/officeDocument/2006/relationships/image" Target="../media/image1152.jpg"/><Relationship Id="rId104" Type="http://schemas.openxmlformats.org/officeDocument/2006/relationships/image" Target="../media/image1142.jpg"/><Relationship Id="rId109" Type="http://schemas.openxmlformats.org/officeDocument/2006/relationships/image" Target="../media/image1148.jpg"/><Relationship Id="rId108" Type="http://schemas.openxmlformats.org/officeDocument/2006/relationships/image" Target="../media/image1070.jpg"/><Relationship Id="rId48" Type="http://schemas.openxmlformats.org/officeDocument/2006/relationships/image" Target="../media/image1154.jpg"/><Relationship Id="rId47" Type="http://schemas.openxmlformats.org/officeDocument/2006/relationships/image" Target="../media/image1156.jpg"/><Relationship Id="rId49" Type="http://schemas.openxmlformats.org/officeDocument/2006/relationships/image" Target="../media/image1050.jpg"/><Relationship Id="rId103" Type="http://schemas.openxmlformats.org/officeDocument/2006/relationships/image" Target="../media/image1058.jpg"/><Relationship Id="rId102" Type="http://schemas.openxmlformats.org/officeDocument/2006/relationships/image" Target="../media/image1102.jpg"/><Relationship Id="rId101" Type="http://schemas.openxmlformats.org/officeDocument/2006/relationships/image" Target="../media/image1035.jpg"/><Relationship Id="rId100" Type="http://schemas.openxmlformats.org/officeDocument/2006/relationships/image" Target="../media/image1135.jpg"/><Relationship Id="rId31" Type="http://schemas.openxmlformats.org/officeDocument/2006/relationships/image" Target="../media/image1090.jpg"/><Relationship Id="rId30" Type="http://schemas.openxmlformats.org/officeDocument/2006/relationships/image" Target="../media/image1158.jpg"/><Relationship Id="rId33" Type="http://schemas.openxmlformats.org/officeDocument/2006/relationships/image" Target="../media/image1097.jpg"/><Relationship Id="rId32" Type="http://schemas.openxmlformats.org/officeDocument/2006/relationships/image" Target="../media/image1130.jpg"/><Relationship Id="rId35" Type="http://schemas.openxmlformats.org/officeDocument/2006/relationships/image" Target="../media/image1034.jpg"/><Relationship Id="rId34" Type="http://schemas.openxmlformats.org/officeDocument/2006/relationships/image" Target="../media/image1075.jpg"/><Relationship Id="rId37" Type="http://schemas.openxmlformats.org/officeDocument/2006/relationships/image" Target="../media/image1079.jpg"/><Relationship Id="rId36" Type="http://schemas.openxmlformats.org/officeDocument/2006/relationships/image" Target="../media/image1138.jpg"/><Relationship Id="rId39" Type="http://schemas.openxmlformats.org/officeDocument/2006/relationships/image" Target="../media/image1137.jpg"/><Relationship Id="rId38" Type="http://schemas.openxmlformats.org/officeDocument/2006/relationships/image" Target="../media/image1115.jpg"/><Relationship Id="rId20" Type="http://schemas.openxmlformats.org/officeDocument/2006/relationships/image" Target="../media/image1188.jpg"/><Relationship Id="rId22" Type="http://schemas.openxmlformats.org/officeDocument/2006/relationships/image" Target="../media/image1087.jpg"/><Relationship Id="rId21" Type="http://schemas.openxmlformats.org/officeDocument/2006/relationships/image" Target="../media/image1202.jpg"/><Relationship Id="rId24" Type="http://schemas.openxmlformats.org/officeDocument/2006/relationships/image" Target="../media/image1139.jpg"/><Relationship Id="rId23" Type="http://schemas.openxmlformats.org/officeDocument/2006/relationships/image" Target="../media/image1074.jpg"/><Relationship Id="rId26" Type="http://schemas.openxmlformats.org/officeDocument/2006/relationships/image" Target="../media/image1048.jpg"/><Relationship Id="rId121" Type="http://schemas.openxmlformats.org/officeDocument/2006/relationships/image" Target="../media/image1039.jpg"/><Relationship Id="rId25" Type="http://schemas.openxmlformats.org/officeDocument/2006/relationships/image" Target="../media/image1126.jpg"/><Relationship Id="rId120" Type="http://schemas.openxmlformats.org/officeDocument/2006/relationships/image" Target="../media/image1053.jpg"/><Relationship Id="rId28" Type="http://schemas.openxmlformats.org/officeDocument/2006/relationships/image" Target="../media/image1117.jpg"/><Relationship Id="rId27" Type="http://schemas.openxmlformats.org/officeDocument/2006/relationships/image" Target="../media/image1128.jpg"/><Relationship Id="rId29" Type="http://schemas.openxmlformats.org/officeDocument/2006/relationships/image" Target="../media/image1155.jpg"/><Relationship Id="rId123" Type="http://schemas.openxmlformats.org/officeDocument/2006/relationships/image" Target="../media/image1082.jpg"/><Relationship Id="rId122" Type="http://schemas.openxmlformats.org/officeDocument/2006/relationships/image" Target="../media/image1168.jpg"/><Relationship Id="rId95" Type="http://schemas.openxmlformats.org/officeDocument/2006/relationships/image" Target="../media/image1149.jpg"/><Relationship Id="rId94" Type="http://schemas.openxmlformats.org/officeDocument/2006/relationships/image" Target="../media/image1122.jpg"/><Relationship Id="rId97" Type="http://schemas.openxmlformats.org/officeDocument/2006/relationships/image" Target="../media/image1077.jpg"/><Relationship Id="rId96" Type="http://schemas.openxmlformats.org/officeDocument/2006/relationships/image" Target="../media/image1054.jpg"/><Relationship Id="rId11" Type="http://schemas.openxmlformats.org/officeDocument/2006/relationships/image" Target="../media/image1085.jpg"/><Relationship Id="rId99" Type="http://schemas.openxmlformats.org/officeDocument/2006/relationships/image" Target="../media/image1127.jpg"/><Relationship Id="rId10" Type="http://schemas.openxmlformats.org/officeDocument/2006/relationships/image" Target="../media/image1145.jpg"/><Relationship Id="rId98" Type="http://schemas.openxmlformats.org/officeDocument/2006/relationships/image" Target="../media/image1099.jpg"/><Relationship Id="rId13" Type="http://schemas.openxmlformats.org/officeDocument/2006/relationships/image" Target="../media/image1062.jpg"/><Relationship Id="rId12" Type="http://schemas.openxmlformats.org/officeDocument/2006/relationships/image" Target="../media/image1162.jpg"/><Relationship Id="rId91" Type="http://schemas.openxmlformats.org/officeDocument/2006/relationships/image" Target="../media/image1150.jpg"/><Relationship Id="rId90" Type="http://schemas.openxmlformats.org/officeDocument/2006/relationships/image" Target="../media/image1159.jpg"/><Relationship Id="rId93" Type="http://schemas.openxmlformats.org/officeDocument/2006/relationships/image" Target="../media/image1091.jpg"/><Relationship Id="rId92" Type="http://schemas.openxmlformats.org/officeDocument/2006/relationships/image" Target="../media/image1060.jpg"/><Relationship Id="rId118" Type="http://schemas.openxmlformats.org/officeDocument/2006/relationships/image" Target="../media/image1106.jpg"/><Relationship Id="rId117" Type="http://schemas.openxmlformats.org/officeDocument/2006/relationships/image" Target="../media/image1105.jpg"/><Relationship Id="rId116" Type="http://schemas.openxmlformats.org/officeDocument/2006/relationships/image" Target="../media/image1040.jpg"/><Relationship Id="rId115" Type="http://schemas.openxmlformats.org/officeDocument/2006/relationships/image" Target="../media/image1151.jpg"/><Relationship Id="rId119" Type="http://schemas.openxmlformats.org/officeDocument/2006/relationships/image" Target="../media/image1078.jpg"/><Relationship Id="rId15" Type="http://schemas.openxmlformats.org/officeDocument/2006/relationships/image" Target="../media/image1064.jpg"/><Relationship Id="rId110" Type="http://schemas.openxmlformats.org/officeDocument/2006/relationships/image" Target="../media/image1047.jpg"/><Relationship Id="rId14" Type="http://schemas.openxmlformats.org/officeDocument/2006/relationships/image" Target="../media/image1146.jpg"/><Relationship Id="rId17" Type="http://schemas.openxmlformats.org/officeDocument/2006/relationships/image" Target="../media/image1094.jpg"/><Relationship Id="rId16" Type="http://schemas.openxmlformats.org/officeDocument/2006/relationships/image" Target="../media/image1132.jpg"/><Relationship Id="rId19" Type="http://schemas.openxmlformats.org/officeDocument/2006/relationships/image" Target="../media/image1136.jpg"/><Relationship Id="rId114" Type="http://schemas.openxmlformats.org/officeDocument/2006/relationships/image" Target="../media/image1131.jpg"/><Relationship Id="rId18" Type="http://schemas.openxmlformats.org/officeDocument/2006/relationships/image" Target="../media/image1140.jpg"/><Relationship Id="rId113" Type="http://schemas.openxmlformats.org/officeDocument/2006/relationships/image" Target="../media/image1147.jpg"/><Relationship Id="rId112" Type="http://schemas.openxmlformats.org/officeDocument/2006/relationships/image" Target="../media/image1161.jpg"/><Relationship Id="rId111" Type="http://schemas.openxmlformats.org/officeDocument/2006/relationships/image" Target="../media/image1089.jpg"/><Relationship Id="rId84" Type="http://schemas.openxmlformats.org/officeDocument/2006/relationships/image" Target="../media/image1120.jpg"/><Relationship Id="rId83" Type="http://schemas.openxmlformats.org/officeDocument/2006/relationships/image" Target="../media/image1059.jpg"/><Relationship Id="rId86" Type="http://schemas.openxmlformats.org/officeDocument/2006/relationships/image" Target="../media/image1080.jpg"/><Relationship Id="rId85" Type="http://schemas.openxmlformats.org/officeDocument/2006/relationships/image" Target="../media/image1100.jpg"/><Relationship Id="rId88" Type="http://schemas.openxmlformats.org/officeDocument/2006/relationships/image" Target="../media/image1098.jpg"/><Relationship Id="rId87" Type="http://schemas.openxmlformats.org/officeDocument/2006/relationships/image" Target="../media/image1073.jpg"/><Relationship Id="rId89" Type="http://schemas.openxmlformats.org/officeDocument/2006/relationships/image" Target="../media/image1038.jpg"/><Relationship Id="rId80" Type="http://schemas.openxmlformats.org/officeDocument/2006/relationships/image" Target="../media/image1072.jpg"/><Relationship Id="rId82" Type="http://schemas.openxmlformats.org/officeDocument/2006/relationships/image" Target="../media/image1133.jpg"/><Relationship Id="rId81" Type="http://schemas.openxmlformats.org/officeDocument/2006/relationships/image" Target="../media/image1095.jpg"/><Relationship Id="rId1" Type="http://schemas.openxmlformats.org/officeDocument/2006/relationships/image" Target="../media/image1056.jpg"/><Relationship Id="rId2" Type="http://schemas.openxmlformats.org/officeDocument/2006/relationships/image" Target="../media/image1052.jpg"/><Relationship Id="rId3" Type="http://schemas.openxmlformats.org/officeDocument/2006/relationships/image" Target="../media/image1076.jpg"/><Relationship Id="rId4" Type="http://schemas.openxmlformats.org/officeDocument/2006/relationships/image" Target="../media/image1066.jpg"/><Relationship Id="rId9" Type="http://schemas.openxmlformats.org/officeDocument/2006/relationships/image" Target="../media/image1189.jpg"/><Relationship Id="rId5" Type="http://schemas.openxmlformats.org/officeDocument/2006/relationships/image" Target="../media/image1177.jpg"/><Relationship Id="rId6" Type="http://schemas.openxmlformats.org/officeDocument/2006/relationships/image" Target="../media/image1067.jpg"/><Relationship Id="rId7" Type="http://schemas.openxmlformats.org/officeDocument/2006/relationships/image" Target="../media/image1165.jpg"/><Relationship Id="rId8" Type="http://schemas.openxmlformats.org/officeDocument/2006/relationships/image" Target="../media/image1057.jpg"/><Relationship Id="rId73" Type="http://schemas.openxmlformats.org/officeDocument/2006/relationships/image" Target="../media/image1134.jpg"/><Relationship Id="rId72" Type="http://schemas.openxmlformats.org/officeDocument/2006/relationships/image" Target="../media/image1086.jpg"/><Relationship Id="rId75" Type="http://schemas.openxmlformats.org/officeDocument/2006/relationships/image" Target="../media/image1063.jpg"/><Relationship Id="rId74" Type="http://schemas.openxmlformats.org/officeDocument/2006/relationships/image" Target="../media/image1157.jpg"/><Relationship Id="rId77" Type="http://schemas.openxmlformats.org/officeDocument/2006/relationships/image" Target="../media/image1096.jpg"/><Relationship Id="rId76" Type="http://schemas.openxmlformats.org/officeDocument/2006/relationships/image" Target="../media/image1093.jpg"/><Relationship Id="rId79" Type="http://schemas.openxmlformats.org/officeDocument/2006/relationships/image" Target="../media/image1026.jpg"/><Relationship Id="rId78" Type="http://schemas.openxmlformats.org/officeDocument/2006/relationships/image" Target="../media/image1027.jpg"/><Relationship Id="rId71" Type="http://schemas.openxmlformats.org/officeDocument/2006/relationships/image" Target="../media/image1111.jpg"/><Relationship Id="rId70" Type="http://schemas.openxmlformats.org/officeDocument/2006/relationships/image" Target="../media/image1164.jpg"/><Relationship Id="rId62" Type="http://schemas.openxmlformats.org/officeDocument/2006/relationships/image" Target="../media/image1081.jpg"/><Relationship Id="rId61" Type="http://schemas.openxmlformats.org/officeDocument/2006/relationships/image" Target="../media/image1121.jpg"/><Relationship Id="rId64" Type="http://schemas.openxmlformats.org/officeDocument/2006/relationships/image" Target="../media/image1061.jpg"/><Relationship Id="rId63" Type="http://schemas.openxmlformats.org/officeDocument/2006/relationships/image" Target="../media/image1160.jpg"/><Relationship Id="rId66" Type="http://schemas.openxmlformats.org/officeDocument/2006/relationships/image" Target="../media/image1144.jpg"/><Relationship Id="rId65" Type="http://schemas.openxmlformats.org/officeDocument/2006/relationships/image" Target="../media/image1207.jpg"/><Relationship Id="rId68" Type="http://schemas.openxmlformats.org/officeDocument/2006/relationships/image" Target="../media/image1084.jpg"/><Relationship Id="rId67" Type="http://schemas.openxmlformats.org/officeDocument/2006/relationships/image" Target="../media/image1129.jpg"/><Relationship Id="rId60" Type="http://schemas.openxmlformats.org/officeDocument/2006/relationships/image" Target="../media/image1119.jpg"/><Relationship Id="rId69" Type="http://schemas.openxmlformats.org/officeDocument/2006/relationships/image" Target="../media/image1143.jpg"/><Relationship Id="rId51" Type="http://schemas.openxmlformats.org/officeDocument/2006/relationships/image" Target="../media/image1124.jpg"/><Relationship Id="rId50" Type="http://schemas.openxmlformats.org/officeDocument/2006/relationships/image" Target="../media/image1051.jpg"/><Relationship Id="rId53" Type="http://schemas.openxmlformats.org/officeDocument/2006/relationships/image" Target="../media/image1107.jpg"/><Relationship Id="rId52" Type="http://schemas.openxmlformats.org/officeDocument/2006/relationships/image" Target="../media/image1192.jpg"/><Relationship Id="rId55" Type="http://schemas.openxmlformats.org/officeDocument/2006/relationships/image" Target="../media/image1092.jpg"/><Relationship Id="rId54" Type="http://schemas.openxmlformats.org/officeDocument/2006/relationships/image" Target="../media/image1045.jpg"/><Relationship Id="rId57" Type="http://schemas.openxmlformats.org/officeDocument/2006/relationships/image" Target="../media/image1068.jpg"/><Relationship Id="rId56" Type="http://schemas.openxmlformats.org/officeDocument/2006/relationships/image" Target="../media/image1103.jpg"/><Relationship Id="rId59" Type="http://schemas.openxmlformats.org/officeDocument/2006/relationships/image" Target="../media/image1041.jpg"/><Relationship Id="rId58" Type="http://schemas.openxmlformats.org/officeDocument/2006/relationships/image" Target="../media/image1125.jpg"/></Relationships>
</file>

<file path=xl/drawings/_rels/drawing41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67.jpg"/><Relationship Id="rId190" Type="http://schemas.openxmlformats.org/officeDocument/2006/relationships/image" Target="../media/image1383.png"/><Relationship Id="rId42" Type="http://schemas.openxmlformats.org/officeDocument/2006/relationships/image" Target="../media/image1214.png"/><Relationship Id="rId41" Type="http://schemas.openxmlformats.org/officeDocument/2006/relationships/image" Target="../media/image1203.png"/><Relationship Id="rId44" Type="http://schemas.openxmlformats.org/officeDocument/2006/relationships/image" Target="../media/image1260.png"/><Relationship Id="rId194" Type="http://schemas.openxmlformats.org/officeDocument/2006/relationships/image" Target="../media/image1027.jpg"/><Relationship Id="rId43" Type="http://schemas.openxmlformats.org/officeDocument/2006/relationships/image" Target="../media/image1165.jpg"/><Relationship Id="rId193" Type="http://schemas.openxmlformats.org/officeDocument/2006/relationships/image" Target="../media/image1330.png"/><Relationship Id="rId46" Type="http://schemas.openxmlformats.org/officeDocument/2006/relationships/image" Target="../media/image1211.png"/><Relationship Id="rId192" Type="http://schemas.openxmlformats.org/officeDocument/2006/relationships/image" Target="../media/image1096.jpg"/><Relationship Id="rId45" Type="http://schemas.openxmlformats.org/officeDocument/2006/relationships/image" Target="../media/image1226.png"/><Relationship Id="rId191" Type="http://schemas.openxmlformats.org/officeDocument/2006/relationships/image" Target="../media/image1093.jpg"/><Relationship Id="rId48" Type="http://schemas.openxmlformats.org/officeDocument/2006/relationships/image" Target="../media/image1197.png"/><Relationship Id="rId187" Type="http://schemas.openxmlformats.org/officeDocument/2006/relationships/image" Target="../media/image1157.jpg"/><Relationship Id="rId47" Type="http://schemas.openxmlformats.org/officeDocument/2006/relationships/image" Target="../media/image1208.png"/><Relationship Id="rId186" Type="http://schemas.openxmlformats.org/officeDocument/2006/relationships/image" Target="../media/image1134.jpg"/><Relationship Id="rId185" Type="http://schemas.openxmlformats.org/officeDocument/2006/relationships/image" Target="../media/image1086.jpg"/><Relationship Id="rId49" Type="http://schemas.openxmlformats.org/officeDocument/2006/relationships/image" Target="../media/image1213.png"/><Relationship Id="rId184" Type="http://schemas.openxmlformats.org/officeDocument/2006/relationships/image" Target="../media/image1326.png"/><Relationship Id="rId189" Type="http://schemas.openxmlformats.org/officeDocument/2006/relationships/image" Target="../media/image1063.jpg"/><Relationship Id="rId188" Type="http://schemas.openxmlformats.org/officeDocument/2006/relationships/image" Target="../media/image1325.png"/><Relationship Id="rId31" Type="http://schemas.openxmlformats.org/officeDocument/2006/relationships/image" Target="../media/image1190.png"/><Relationship Id="rId30" Type="http://schemas.openxmlformats.org/officeDocument/2006/relationships/image" Target="../media/image1184.png"/><Relationship Id="rId33" Type="http://schemas.openxmlformats.org/officeDocument/2006/relationships/image" Target="../media/image1076.jpg"/><Relationship Id="rId183" Type="http://schemas.openxmlformats.org/officeDocument/2006/relationships/image" Target="../media/image1111.jpg"/><Relationship Id="rId32" Type="http://schemas.openxmlformats.org/officeDocument/2006/relationships/image" Target="../media/image1180.png"/><Relationship Id="rId182" Type="http://schemas.openxmlformats.org/officeDocument/2006/relationships/image" Target="../media/image1084.jpg"/><Relationship Id="rId35" Type="http://schemas.openxmlformats.org/officeDocument/2006/relationships/image" Target="../media/image1216.png"/><Relationship Id="rId181" Type="http://schemas.openxmlformats.org/officeDocument/2006/relationships/image" Target="../media/image1129.jpg"/><Relationship Id="rId34" Type="http://schemas.openxmlformats.org/officeDocument/2006/relationships/image" Target="../media/image1199.png"/><Relationship Id="rId180" Type="http://schemas.openxmlformats.org/officeDocument/2006/relationships/image" Target="../media/image1207.jpg"/><Relationship Id="rId37" Type="http://schemas.openxmlformats.org/officeDocument/2006/relationships/image" Target="../media/image1177.jpg"/><Relationship Id="rId176" Type="http://schemas.openxmlformats.org/officeDocument/2006/relationships/image" Target="../media/image1315.png"/><Relationship Id="rId36" Type="http://schemas.openxmlformats.org/officeDocument/2006/relationships/image" Target="../media/image1204.png"/><Relationship Id="rId175" Type="http://schemas.openxmlformats.org/officeDocument/2006/relationships/image" Target="../media/image1334.png"/><Relationship Id="rId39" Type="http://schemas.openxmlformats.org/officeDocument/2006/relationships/image" Target="../media/image1195.png"/><Relationship Id="rId174" Type="http://schemas.openxmlformats.org/officeDocument/2006/relationships/image" Target="../media/image1041.jpg"/><Relationship Id="rId38" Type="http://schemas.openxmlformats.org/officeDocument/2006/relationships/image" Target="../media/image1196.png"/><Relationship Id="rId173" Type="http://schemas.openxmlformats.org/officeDocument/2006/relationships/image" Target="../media/image1125.jpg"/><Relationship Id="rId179" Type="http://schemas.openxmlformats.org/officeDocument/2006/relationships/image" Target="../media/image1160.jpg"/><Relationship Id="rId178" Type="http://schemas.openxmlformats.org/officeDocument/2006/relationships/image" Target="../media/image1081.jpg"/><Relationship Id="rId177" Type="http://schemas.openxmlformats.org/officeDocument/2006/relationships/image" Target="../media/image1121.jpg"/><Relationship Id="rId20" Type="http://schemas.openxmlformats.org/officeDocument/2006/relationships/image" Target="../media/image1186.png"/><Relationship Id="rId22" Type="http://schemas.openxmlformats.org/officeDocument/2006/relationships/image" Target="../media/image1206.png"/><Relationship Id="rId21" Type="http://schemas.openxmlformats.org/officeDocument/2006/relationships/image" Target="../media/image1193.png"/><Relationship Id="rId24" Type="http://schemas.openxmlformats.org/officeDocument/2006/relationships/image" Target="../media/image1179.png"/><Relationship Id="rId23" Type="http://schemas.openxmlformats.org/officeDocument/2006/relationships/image" Target="../media/image1187.png"/><Relationship Id="rId26" Type="http://schemas.openxmlformats.org/officeDocument/2006/relationships/image" Target="../media/image1198.png"/><Relationship Id="rId25" Type="http://schemas.openxmlformats.org/officeDocument/2006/relationships/image" Target="../media/image1181.png"/><Relationship Id="rId28" Type="http://schemas.openxmlformats.org/officeDocument/2006/relationships/image" Target="../media/image1200.png"/><Relationship Id="rId27" Type="http://schemas.openxmlformats.org/officeDocument/2006/relationships/image" Target="../media/image1185.png"/><Relationship Id="rId29" Type="http://schemas.openxmlformats.org/officeDocument/2006/relationships/image" Target="../media/image1174.png"/><Relationship Id="rId11" Type="http://schemas.openxmlformats.org/officeDocument/2006/relationships/image" Target="../media/image1191.png"/><Relationship Id="rId10" Type="http://schemas.openxmlformats.org/officeDocument/2006/relationships/image" Target="../media/image1224.png"/><Relationship Id="rId13" Type="http://schemas.openxmlformats.org/officeDocument/2006/relationships/image" Target="../media/image1175.png"/><Relationship Id="rId12" Type="http://schemas.openxmlformats.org/officeDocument/2006/relationships/image" Target="../media/image1052.jpg"/><Relationship Id="rId15" Type="http://schemas.openxmlformats.org/officeDocument/2006/relationships/image" Target="../media/image1173.png"/><Relationship Id="rId198" Type="http://schemas.openxmlformats.org/officeDocument/2006/relationships/image" Target="../media/image1059.jpg"/><Relationship Id="rId14" Type="http://schemas.openxmlformats.org/officeDocument/2006/relationships/image" Target="../media/image1178.png"/><Relationship Id="rId197" Type="http://schemas.openxmlformats.org/officeDocument/2006/relationships/image" Target="../media/image1133.jpg"/><Relationship Id="rId17" Type="http://schemas.openxmlformats.org/officeDocument/2006/relationships/image" Target="../media/image1194.png"/><Relationship Id="rId196" Type="http://schemas.openxmlformats.org/officeDocument/2006/relationships/image" Target="../media/image1072.jpg"/><Relationship Id="rId16" Type="http://schemas.openxmlformats.org/officeDocument/2006/relationships/image" Target="../media/image1182.png"/><Relationship Id="rId195" Type="http://schemas.openxmlformats.org/officeDocument/2006/relationships/image" Target="../media/image1026.jpg"/><Relationship Id="rId19" Type="http://schemas.openxmlformats.org/officeDocument/2006/relationships/image" Target="../media/image1172.png"/><Relationship Id="rId18" Type="http://schemas.openxmlformats.org/officeDocument/2006/relationships/image" Target="../media/image1170.png"/><Relationship Id="rId199" Type="http://schemas.openxmlformats.org/officeDocument/2006/relationships/image" Target="../media/image1342.png"/><Relationship Id="rId84" Type="http://schemas.openxmlformats.org/officeDocument/2006/relationships/image" Target="../media/image1136.jpg"/><Relationship Id="rId83" Type="http://schemas.openxmlformats.org/officeDocument/2006/relationships/image" Target="../media/image1244.png"/><Relationship Id="rId86" Type="http://schemas.openxmlformats.org/officeDocument/2006/relationships/image" Target="../media/image1233.png"/><Relationship Id="rId85" Type="http://schemas.openxmlformats.org/officeDocument/2006/relationships/image" Target="../media/image1222.png"/><Relationship Id="rId88" Type="http://schemas.openxmlformats.org/officeDocument/2006/relationships/image" Target="../media/image1243.png"/><Relationship Id="rId150" Type="http://schemas.openxmlformats.org/officeDocument/2006/relationships/image" Target="../media/image1297.png"/><Relationship Id="rId271" Type="http://schemas.openxmlformats.org/officeDocument/2006/relationships/image" Target="../media/image1380.png"/><Relationship Id="rId87" Type="http://schemas.openxmlformats.org/officeDocument/2006/relationships/image" Target="../media/image1188.jpg"/><Relationship Id="rId270" Type="http://schemas.openxmlformats.org/officeDocument/2006/relationships/image" Target="../media/image1382.png"/><Relationship Id="rId89" Type="http://schemas.openxmlformats.org/officeDocument/2006/relationships/image" Target="../media/image1202.jpg"/><Relationship Id="rId80" Type="http://schemas.openxmlformats.org/officeDocument/2006/relationships/image" Target="../media/image1248.png"/><Relationship Id="rId82" Type="http://schemas.openxmlformats.org/officeDocument/2006/relationships/image" Target="../media/image1227.png"/><Relationship Id="rId81" Type="http://schemas.openxmlformats.org/officeDocument/2006/relationships/image" Target="../media/image1140.jpg"/><Relationship Id="rId1" Type="http://schemas.openxmlformats.org/officeDocument/2006/relationships/image" Target="../media/image1056.jpg"/><Relationship Id="rId2" Type="http://schemas.openxmlformats.org/officeDocument/2006/relationships/image" Target="../media/image1167.png"/><Relationship Id="rId3" Type="http://schemas.openxmlformats.org/officeDocument/2006/relationships/image" Target="../media/image1169.png"/><Relationship Id="rId149" Type="http://schemas.openxmlformats.org/officeDocument/2006/relationships/image" Target="../media/image1065.jpg"/><Relationship Id="rId4" Type="http://schemas.openxmlformats.org/officeDocument/2006/relationships/image" Target="../media/image1163.png"/><Relationship Id="rId148" Type="http://schemas.openxmlformats.org/officeDocument/2006/relationships/image" Target="../media/image1283.png"/><Relationship Id="rId269" Type="http://schemas.openxmlformats.org/officeDocument/2006/relationships/image" Target="../media/image1105.jpg"/><Relationship Id="rId9" Type="http://schemas.openxmlformats.org/officeDocument/2006/relationships/image" Target="../media/image1210.png"/><Relationship Id="rId143" Type="http://schemas.openxmlformats.org/officeDocument/2006/relationships/image" Target="../media/image1153.jpg"/><Relationship Id="rId264" Type="http://schemas.openxmlformats.org/officeDocument/2006/relationships/image" Target="../media/image1161.jpg"/><Relationship Id="rId142" Type="http://schemas.openxmlformats.org/officeDocument/2006/relationships/image" Target="../media/image1291.png"/><Relationship Id="rId263" Type="http://schemas.openxmlformats.org/officeDocument/2006/relationships/image" Target="../media/image1089.jpg"/><Relationship Id="rId141" Type="http://schemas.openxmlformats.org/officeDocument/2006/relationships/image" Target="../media/image1290.png"/><Relationship Id="rId262" Type="http://schemas.openxmlformats.org/officeDocument/2006/relationships/image" Target="../media/image1047.jpg"/><Relationship Id="rId140" Type="http://schemas.openxmlformats.org/officeDocument/2006/relationships/image" Target="../media/image1166.jpg"/><Relationship Id="rId261" Type="http://schemas.openxmlformats.org/officeDocument/2006/relationships/image" Target="../media/image1148.jpg"/><Relationship Id="rId5" Type="http://schemas.openxmlformats.org/officeDocument/2006/relationships/image" Target="../media/image1183.png"/><Relationship Id="rId147" Type="http://schemas.openxmlformats.org/officeDocument/2006/relationships/image" Target="../media/image1321.png"/><Relationship Id="rId268" Type="http://schemas.openxmlformats.org/officeDocument/2006/relationships/image" Target="../media/image1379.png"/><Relationship Id="rId6" Type="http://schemas.openxmlformats.org/officeDocument/2006/relationships/image" Target="../media/image1171.png"/><Relationship Id="rId146" Type="http://schemas.openxmlformats.org/officeDocument/2006/relationships/image" Target="../media/image1308.png"/><Relationship Id="rId267" Type="http://schemas.openxmlformats.org/officeDocument/2006/relationships/image" Target="../media/image1040.jpg"/><Relationship Id="rId7" Type="http://schemas.openxmlformats.org/officeDocument/2006/relationships/image" Target="../media/image1201.png"/><Relationship Id="rId145" Type="http://schemas.openxmlformats.org/officeDocument/2006/relationships/image" Target="../media/image1289.png"/><Relationship Id="rId266" Type="http://schemas.openxmlformats.org/officeDocument/2006/relationships/image" Target="../media/image1131.jpg"/><Relationship Id="rId8" Type="http://schemas.openxmlformats.org/officeDocument/2006/relationships/image" Target="../media/image1176.png"/><Relationship Id="rId144" Type="http://schemas.openxmlformats.org/officeDocument/2006/relationships/image" Target="../media/image1292.png"/><Relationship Id="rId265" Type="http://schemas.openxmlformats.org/officeDocument/2006/relationships/image" Target="../media/image1378.png"/><Relationship Id="rId73" Type="http://schemas.openxmlformats.org/officeDocument/2006/relationships/image" Target="../media/image1241.png"/><Relationship Id="rId72" Type="http://schemas.openxmlformats.org/officeDocument/2006/relationships/image" Target="../media/image1237.png"/><Relationship Id="rId75" Type="http://schemas.openxmlformats.org/officeDocument/2006/relationships/image" Target="../media/image1229.png"/><Relationship Id="rId74" Type="http://schemas.openxmlformats.org/officeDocument/2006/relationships/image" Target="../media/image1219.png"/><Relationship Id="rId77" Type="http://schemas.openxmlformats.org/officeDocument/2006/relationships/image" Target="../media/image1238.png"/><Relationship Id="rId260" Type="http://schemas.openxmlformats.org/officeDocument/2006/relationships/image" Target="../media/image1606.png"/><Relationship Id="rId76" Type="http://schemas.openxmlformats.org/officeDocument/2006/relationships/image" Target="../media/image1235.png"/><Relationship Id="rId79" Type="http://schemas.openxmlformats.org/officeDocument/2006/relationships/image" Target="../media/image1221.png"/><Relationship Id="rId78" Type="http://schemas.openxmlformats.org/officeDocument/2006/relationships/image" Target="../media/image1218.png"/><Relationship Id="rId71" Type="http://schemas.openxmlformats.org/officeDocument/2006/relationships/image" Target="../media/image1225.png"/><Relationship Id="rId70" Type="http://schemas.openxmlformats.org/officeDocument/2006/relationships/image" Target="../media/image1288.png"/><Relationship Id="rId139" Type="http://schemas.openxmlformats.org/officeDocument/2006/relationships/image" Target="../media/image1306.png"/><Relationship Id="rId138" Type="http://schemas.openxmlformats.org/officeDocument/2006/relationships/image" Target="../media/image1302.png"/><Relationship Id="rId259" Type="http://schemas.openxmlformats.org/officeDocument/2006/relationships/image" Target="../media/image1386.png"/><Relationship Id="rId137" Type="http://schemas.openxmlformats.org/officeDocument/2006/relationships/image" Target="../media/image1282.png"/><Relationship Id="rId258" Type="http://schemas.openxmlformats.org/officeDocument/2006/relationships/image" Target="../media/image1070.jpg"/><Relationship Id="rId132" Type="http://schemas.openxmlformats.org/officeDocument/2006/relationships/image" Target="../media/image1281.png"/><Relationship Id="rId253" Type="http://schemas.openxmlformats.org/officeDocument/2006/relationships/image" Target="../media/image1152.jpg"/><Relationship Id="rId131" Type="http://schemas.openxmlformats.org/officeDocument/2006/relationships/image" Target="../media/image1275.png"/><Relationship Id="rId252" Type="http://schemas.openxmlformats.org/officeDocument/2006/relationships/image" Target="../media/image1142.jpg"/><Relationship Id="rId130" Type="http://schemas.openxmlformats.org/officeDocument/2006/relationships/image" Target="../media/image1268.png"/><Relationship Id="rId251" Type="http://schemas.openxmlformats.org/officeDocument/2006/relationships/image" Target="../media/image1058.jpg"/><Relationship Id="rId250" Type="http://schemas.openxmlformats.org/officeDocument/2006/relationships/image" Target="../media/image1102.jpg"/><Relationship Id="rId136" Type="http://schemas.openxmlformats.org/officeDocument/2006/relationships/image" Target="../media/image1276.png"/><Relationship Id="rId257" Type="http://schemas.openxmlformats.org/officeDocument/2006/relationships/image" Target="../media/image1409.png"/><Relationship Id="rId135" Type="http://schemas.openxmlformats.org/officeDocument/2006/relationships/image" Target="../media/image1279.png"/><Relationship Id="rId256" Type="http://schemas.openxmlformats.org/officeDocument/2006/relationships/image" Target="../media/image1377.png"/><Relationship Id="rId134" Type="http://schemas.openxmlformats.org/officeDocument/2006/relationships/image" Target="../media/image1277.png"/><Relationship Id="rId255" Type="http://schemas.openxmlformats.org/officeDocument/2006/relationships/image" Target="../media/image1375.png"/><Relationship Id="rId133" Type="http://schemas.openxmlformats.org/officeDocument/2006/relationships/image" Target="../media/image1314.png"/><Relationship Id="rId254" Type="http://schemas.openxmlformats.org/officeDocument/2006/relationships/image" Target="../media/image1071.jpg"/><Relationship Id="rId62" Type="http://schemas.openxmlformats.org/officeDocument/2006/relationships/image" Target="../media/image1145.jpg"/><Relationship Id="rId61" Type="http://schemas.openxmlformats.org/officeDocument/2006/relationships/image" Target="../media/image1220.png"/><Relationship Id="rId64" Type="http://schemas.openxmlformats.org/officeDocument/2006/relationships/image" Target="../media/image1230.png"/><Relationship Id="rId63" Type="http://schemas.openxmlformats.org/officeDocument/2006/relationships/image" Target="../media/image1085.jpg"/><Relationship Id="rId66" Type="http://schemas.openxmlformats.org/officeDocument/2006/relationships/image" Target="../media/image1232.png"/><Relationship Id="rId172" Type="http://schemas.openxmlformats.org/officeDocument/2006/relationships/image" Target="../media/image1316.png"/><Relationship Id="rId65" Type="http://schemas.openxmlformats.org/officeDocument/2006/relationships/image" Target="../media/image1062.jpg"/><Relationship Id="rId171" Type="http://schemas.openxmlformats.org/officeDocument/2006/relationships/image" Target="../media/image1362.png"/><Relationship Id="rId68" Type="http://schemas.openxmlformats.org/officeDocument/2006/relationships/image" Target="../media/image1132.jpg"/><Relationship Id="rId170" Type="http://schemas.openxmlformats.org/officeDocument/2006/relationships/image" Target="../media/image1068.jpg"/><Relationship Id="rId67" Type="http://schemas.openxmlformats.org/officeDocument/2006/relationships/image" Target="../media/image1228.png"/><Relationship Id="rId60" Type="http://schemas.openxmlformats.org/officeDocument/2006/relationships/image" Target="../media/image1239.png"/><Relationship Id="rId165" Type="http://schemas.openxmlformats.org/officeDocument/2006/relationships/image" Target="../media/image1332.png"/><Relationship Id="rId69" Type="http://schemas.openxmlformats.org/officeDocument/2006/relationships/image" Target="../media/image1094.jpg"/><Relationship Id="rId164" Type="http://schemas.openxmlformats.org/officeDocument/2006/relationships/image" Target="../media/image1124.jpg"/><Relationship Id="rId163" Type="http://schemas.openxmlformats.org/officeDocument/2006/relationships/image" Target="../media/image1051.jpg"/><Relationship Id="rId162" Type="http://schemas.openxmlformats.org/officeDocument/2006/relationships/image" Target="../media/image1313.png"/><Relationship Id="rId169" Type="http://schemas.openxmlformats.org/officeDocument/2006/relationships/image" Target="../media/image1103.jpg"/><Relationship Id="rId168" Type="http://schemas.openxmlformats.org/officeDocument/2006/relationships/image" Target="../media/image1322.png"/><Relationship Id="rId167" Type="http://schemas.openxmlformats.org/officeDocument/2006/relationships/image" Target="../media/image1092.jpg"/><Relationship Id="rId166" Type="http://schemas.openxmlformats.org/officeDocument/2006/relationships/image" Target="../media/image1307.png"/><Relationship Id="rId51" Type="http://schemas.openxmlformats.org/officeDocument/2006/relationships/image" Target="../media/image1242.png"/><Relationship Id="rId50" Type="http://schemas.openxmlformats.org/officeDocument/2006/relationships/image" Target="../media/image1234.png"/><Relationship Id="rId53" Type="http://schemas.openxmlformats.org/officeDocument/2006/relationships/image" Target="../media/image1215.png"/><Relationship Id="rId52" Type="http://schemas.openxmlformats.org/officeDocument/2006/relationships/image" Target="../media/image1205.png"/><Relationship Id="rId55" Type="http://schemas.openxmlformats.org/officeDocument/2006/relationships/image" Target="../media/image1209.png"/><Relationship Id="rId161" Type="http://schemas.openxmlformats.org/officeDocument/2006/relationships/image" Target="../media/image1311.png"/><Relationship Id="rId54" Type="http://schemas.openxmlformats.org/officeDocument/2006/relationships/image" Target="../media/image1057.jpg"/><Relationship Id="rId160" Type="http://schemas.openxmlformats.org/officeDocument/2006/relationships/image" Target="../media/image1301.png"/><Relationship Id="rId57" Type="http://schemas.openxmlformats.org/officeDocument/2006/relationships/image" Target="../media/image1217.png"/><Relationship Id="rId56" Type="http://schemas.openxmlformats.org/officeDocument/2006/relationships/image" Target="../media/image1223.png"/><Relationship Id="rId159" Type="http://schemas.openxmlformats.org/officeDocument/2006/relationships/image" Target="../media/image1299.png"/><Relationship Id="rId59" Type="http://schemas.openxmlformats.org/officeDocument/2006/relationships/image" Target="../media/image1212.png"/><Relationship Id="rId154" Type="http://schemas.openxmlformats.org/officeDocument/2006/relationships/image" Target="../media/image1295.png"/><Relationship Id="rId275" Type="http://schemas.openxmlformats.org/officeDocument/2006/relationships/image" Target="../media/image1168.jpg"/><Relationship Id="rId58" Type="http://schemas.openxmlformats.org/officeDocument/2006/relationships/image" Target="../media/image1189.jpg"/><Relationship Id="rId153" Type="http://schemas.openxmlformats.org/officeDocument/2006/relationships/image" Target="../media/image1304.png"/><Relationship Id="rId274" Type="http://schemas.openxmlformats.org/officeDocument/2006/relationships/image" Target="../media/image1039.jpg"/><Relationship Id="rId152" Type="http://schemas.openxmlformats.org/officeDocument/2006/relationships/image" Target="../media/image1296.png"/><Relationship Id="rId273" Type="http://schemas.openxmlformats.org/officeDocument/2006/relationships/image" Target="../media/image1053.jpg"/><Relationship Id="rId151" Type="http://schemas.openxmlformats.org/officeDocument/2006/relationships/image" Target="../media/image1298.png"/><Relationship Id="rId272" Type="http://schemas.openxmlformats.org/officeDocument/2006/relationships/image" Target="../media/image1106.jpg"/><Relationship Id="rId158" Type="http://schemas.openxmlformats.org/officeDocument/2006/relationships/image" Target="../media/image1050.jpg"/><Relationship Id="rId157" Type="http://schemas.openxmlformats.org/officeDocument/2006/relationships/image" Target="../media/image1154.jpg"/><Relationship Id="rId156" Type="http://schemas.openxmlformats.org/officeDocument/2006/relationships/image" Target="../media/image1287.png"/><Relationship Id="rId155" Type="http://schemas.openxmlformats.org/officeDocument/2006/relationships/image" Target="../media/image1294.png"/><Relationship Id="rId276" Type="http://schemas.openxmlformats.org/officeDocument/2006/relationships/image" Target="../media/image1082.jpg"/><Relationship Id="rId107" Type="http://schemas.openxmlformats.org/officeDocument/2006/relationships/image" Target="../media/image1138.jpg"/><Relationship Id="rId228" Type="http://schemas.openxmlformats.org/officeDocument/2006/relationships/image" Target="../media/image1360.png"/><Relationship Id="rId106" Type="http://schemas.openxmlformats.org/officeDocument/2006/relationships/image" Target="../media/image1034.jpg"/><Relationship Id="rId227" Type="http://schemas.openxmlformats.org/officeDocument/2006/relationships/image" Target="../media/image1356.png"/><Relationship Id="rId105" Type="http://schemas.openxmlformats.org/officeDocument/2006/relationships/image" Target="../media/image1256.png"/><Relationship Id="rId226" Type="http://schemas.openxmlformats.org/officeDocument/2006/relationships/image" Target="../media/image1435.png"/><Relationship Id="rId104" Type="http://schemas.openxmlformats.org/officeDocument/2006/relationships/image" Target="../media/image1130.jpg"/><Relationship Id="rId225" Type="http://schemas.openxmlformats.org/officeDocument/2006/relationships/image" Target="../media/image1150.jpg"/><Relationship Id="rId109" Type="http://schemas.openxmlformats.org/officeDocument/2006/relationships/image" Target="../media/image1263.png"/><Relationship Id="rId108" Type="http://schemas.openxmlformats.org/officeDocument/2006/relationships/image" Target="../media/image1249.png"/><Relationship Id="rId229" Type="http://schemas.openxmlformats.org/officeDocument/2006/relationships/image" Target="../media/image1352.png"/><Relationship Id="rId220" Type="http://schemas.openxmlformats.org/officeDocument/2006/relationships/image" Target="../media/image1413.png"/><Relationship Id="rId103" Type="http://schemas.openxmlformats.org/officeDocument/2006/relationships/image" Target="../media/image1090.jpg"/><Relationship Id="rId224" Type="http://schemas.openxmlformats.org/officeDocument/2006/relationships/image" Target="../media/image1348.png"/><Relationship Id="rId102" Type="http://schemas.openxmlformats.org/officeDocument/2006/relationships/image" Target="../media/image1155.jpg"/><Relationship Id="rId223" Type="http://schemas.openxmlformats.org/officeDocument/2006/relationships/image" Target="../media/image1159.jpg"/><Relationship Id="rId101" Type="http://schemas.openxmlformats.org/officeDocument/2006/relationships/image" Target="../media/image1262.png"/><Relationship Id="rId222" Type="http://schemas.openxmlformats.org/officeDocument/2006/relationships/image" Target="../media/image1350.png"/><Relationship Id="rId100" Type="http://schemas.openxmlformats.org/officeDocument/2006/relationships/image" Target="../media/image1261.png"/><Relationship Id="rId221" Type="http://schemas.openxmlformats.org/officeDocument/2006/relationships/image" Target="../media/image1353.png"/><Relationship Id="rId217" Type="http://schemas.openxmlformats.org/officeDocument/2006/relationships/image" Target="../media/image1347.png"/><Relationship Id="rId216" Type="http://schemas.openxmlformats.org/officeDocument/2006/relationships/image" Target="../media/image1073.jpg"/><Relationship Id="rId215" Type="http://schemas.openxmlformats.org/officeDocument/2006/relationships/image" Target="../media/image1351.png"/><Relationship Id="rId214" Type="http://schemas.openxmlformats.org/officeDocument/2006/relationships/image" Target="../media/image1368.png"/><Relationship Id="rId219" Type="http://schemas.openxmlformats.org/officeDocument/2006/relationships/image" Target="../media/image1038.jpg"/><Relationship Id="rId218" Type="http://schemas.openxmlformats.org/officeDocument/2006/relationships/image" Target="../media/image1098.jpg"/><Relationship Id="rId213" Type="http://schemas.openxmlformats.org/officeDocument/2006/relationships/image" Target="../media/image1408.png"/><Relationship Id="rId212" Type="http://schemas.openxmlformats.org/officeDocument/2006/relationships/image" Target="../media/image1349.png"/><Relationship Id="rId211" Type="http://schemas.openxmlformats.org/officeDocument/2006/relationships/image" Target="../media/image1432.png"/><Relationship Id="rId210" Type="http://schemas.openxmlformats.org/officeDocument/2006/relationships/image" Target="../media/image1080.jpg"/><Relationship Id="rId129" Type="http://schemas.openxmlformats.org/officeDocument/2006/relationships/image" Target="../media/image1286.png"/><Relationship Id="rId128" Type="http://schemas.openxmlformats.org/officeDocument/2006/relationships/image" Target="../media/image1269.png"/><Relationship Id="rId249" Type="http://schemas.openxmlformats.org/officeDocument/2006/relationships/image" Target="../media/image1367.png"/><Relationship Id="rId127" Type="http://schemas.openxmlformats.org/officeDocument/2006/relationships/image" Target="../media/image1329.png"/><Relationship Id="rId248" Type="http://schemas.openxmlformats.org/officeDocument/2006/relationships/image" Target="../media/image1366.png"/><Relationship Id="rId126" Type="http://schemas.openxmlformats.org/officeDocument/2006/relationships/image" Target="../media/image1267.png"/><Relationship Id="rId247" Type="http://schemas.openxmlformats.org/officeDocument/2006/relationships/image" Target="../media/image1369.png"/><Relationship Id="rId121" Type="http://schemas.openxmlformats.org/officeDocument/2006/relationships/image" Target="../media/image1259.png"/><Relationship Id="rId242" Type="http://schemas.openxmlformats.org/officeDocument/2006/relationships/image" Target="../media/image1127.jpg"/><Relationship Id="rId120" Type="http://schemas.openxmlformats.org/officeDocument/2006/relationships/image" Target="../media/image1272.png"/><Relationship Id="rId241" Type="http://schemas.openxmlformats.org/officeDocument/2006/relationships/image" Target="../media/image1372.png"/><Relationship Id="rId240" Type="http://schemas.openxmlformats.org/officeDocument/2006/relationships/image" Target="../media/image1099.jpg"/><Relationship Id="rId125" Type="http://schemas.openxmlformats.org/officeDocument/2006/relationships/image" Target="../media/image1088.jpg"/><Relationship Id="rId246" Type="http://schemas.openxmlformats.org/officeDocument/2006/relationships/image" Target="../media/image1364.png"/><Relationship Id="rId124" Type="http://schemas.openxmlformats.org/officeDocument/2006/relationships/image" Target="../media/image1273.png"/><Relationship Id="rId245" Type="http://schemas.openxmlformats.org/officeDocument/2006/relationships/image" Target="../media/image1376.png"/><Relationship Id="rId123" Type="http://schemas.openxmlformats.org/officeDocument/2006/relationships/image" Target="../media/image1252.png"/><Relationship Id="rId244" Type="http://schemas.openxmlformats.org/officeDocument/2006/relationships/image" Target="../media/image1513.png"/><Relationship Id="rId122" Type="http://schemas.openxmlformats.org/officeDocument/2006/relationships/image" Target="../media/image1255.png"/><Relationship Id="rId243" Type="http://schemas.openxmlformats.org/officeDocument/2006/relationships/image" Target="../media/image1135.jpg"/><Relationship Id="rId95" Type="http://schemas.openxmlformats.org/officeDocument/2006/relationships/image" Target="../media/image1139.jpg"/><Relationship Id="rId94" Type="http://schemas.openxmlformats.org/officeDocument/2006/relationships/image" Target="../media/image1245.png"/><Relationship Id="rId97" Type="http://schemas.openxmlformats.org/officeDocument/2006/relationships/image" Target="../media/image1247.png"/><Relationship Id="rId96" Type="http://schemas.openxmlformats.org/officeDocument/2006/relationships/image" Target="../media/image1126.jpg"/><Relationship Id="rId99" Type="http://schemas.openxmlformats.org/officeDocument/2006/relationships/image" Target="../media/image1254.png"/><Relationship Id="rId98" Type="http://schemas.openxmlformats.org/officeDocument/2006/relationships/image" Target="../media/image1048.jpg"/><Relationship Id="rId91" Type="http://schemas.openxmlformats.org/officeDocument/2006/relationships/image" Target="../media/image1087.jpg"/><Relationship Id="rId90" Type="http://schemas.openxmlformats.org/officeDocument/2006/relationships/image" Target="../media/image1240.png"/><Relationship Id="rId93" Type="http://schemas.openxmlformats.org/officeDocument/2006/relationships/image" Target="../media/image1074.jpg"/><Relationship Id="rId92" Type="http://schemas.openxmlformats.org/officeDocument/2006/relationships/image" Target="../media/image1246.png"/><Relationship Id="rId118" Type="http://schemas.openxmlformats.org/officeDocument/2006/relationships/image" Target="../media/image1108.jpg"/><Relationship Id="rId239" Type="http://schemas.openxmlformats.org/officeDocument/2006/relationships/image" Target="../media/image1077.jpg"/><Relationship Id="rId117" Type="http://schemas.openxmlformats.org/officeDocument/2006/relationships/image" Target="../media/image1265.png"/><Relationship Id="rId238" Type="http://schemas.openxmlformats.org/officeDocument/2006/relationships/image" Target="../media/image1054.jpg"/><Relationship Id="rId116" Type="http://schemas.openxmlformats.org/officeDocument/2006/relationships/image" Target="../media/image1101.jpg"/><Relationship Id="rId237" Type="http://schemas.openxmlformats.org/officeDocument/2006/relationships/image" Target="../media/image1354.png"/><Relationship Id="rId115" Type="http://schemas.openxmlformats.org/officeDocument/2006/relationships/image" Target="../media/image1251.png"/><Relationship Id="rId236" Type="http://schemas.openxmlformats.org/officeDocument/2006/relationships/image" Target="../media/image1426.png"/><Relationship Id="rId119" Type="http://schemas.openxmlformats.org/officeDocument/2006/relationships/image" Target="../media/image1303.png"/><Relationship Id="rId110" Type="http://schemas.openxmlformats.org/officeDocument/2006/relationships/image" Target="../media/image1271.png"/><Relationship Id="rId231" Type="http://schemas.openxmlformats.org/officeDocument/2006/relationships/image" Target="../media/image1060.jpg"/><Relationship Id="rId230" Type="http://schemas.openxmlformats.org/officeDocument/2006/relationships/image" Target="../media/image1365.png"/><Relationship Id="rId114" Type="http://schemas.openxmlformats.org/officeDocument/2006/relationships/image" Target="../media/image1266.png"/><Relationship Id="rId235" Type="http://schemas.openxmlformats.org/officeDocument/2006/relationships/image" Target="../media/image1122.jpg"/><Relationship Id="rId113" Type="http://schemas.openxmlformats.org/officeDocument/2006/relationships/image" Target="../media/image1137.jpg"/><Relationship Id="rId234" Type="http://schemas.openxmlformats.org/officeDocument/2006/relationships/image" Target="../media/image1359.png"/><Relationship Id="rId112" Type="http://schemas.openxmlformats.org/officeDocument/2006/relationships/image" Target="../media/image1264.png"/><Relationship Id="rId233" Type="http://schemas.openxmlformats.org/officeDocument/2006/relationships/image" Target="../media/image1091.jpg"/><Relationship Id="rId111" Type="http://schemas.openxmlformats.org/officeDocument/2006/relationships/image" Target="../media/image1115.jpg"/><Relationship Id="rId232" Type="http://schemas.openxmlformats.org/officeDocument/2006/relationships/image" Target="../media/image1363.png"/><Relationship Id="rId206" Type="http://schemas.openxmlformats.org/officeDocument/2006/relationships/image" Target="../media/image1340.png"/><Relationship Id="rId205" Type="http://schemas.openxmlformats.org/officeDocument/2006/relationships/image" Target="../media/image1337.png"/><Relationship Id="rId204" Type="http://schemas.openxmlformats.org/officeDocument/2006/relationships/image" Target="../media/image1338.png"/><Relationship Id="rId203" Type="http://schemas.openxmlformats.org/officeDocument/2006/relationships/image" Target="../media/image1341.png"/><Relationship Id="rId209" Type="http://schemas.openxmlformats.org/officeDocument/2006/relationships/image" Target="../media/image1100.jpg"/><Relationship Id="rId208" Type="http://schemas.openxmlformats.org/officeDocument/2006/relationships/image" Target="../media/image1345.png"/><Relationship Id="rId207" Type="http://schemas.openxmlformats.org/officeDocument/2006/relationships/image" Target="../media/image1336.png"/><Relationship Id="rId202" Type="http://schemas.openxmlformats.org/officeDocument/2006/relationships/image" Target="../media/image1358.png"/><Relationship Id="rId201" Type="http://schemas.openxmlformats.org/officeDocument/2006/relationships/image" Target="../media/image1335.png"/><Relationship Id="rId200" Type="http://schemas.openxmlformats.org/officeDocument/2006/relationships/image" Target="../media/image1339.png"/></Relationships>
</file>

<file path=xl/drawings/_rels/drawing42.xml.rels><?xml version="1.0" encoding="UTF-8" standalone="yes"?><Relationships xmlns="http://schemas.openxmlformats.org/package/2006/relationships"><Relationship Id="rId40" Type="http://schemas.openxmlformats.org/officeDocument/2006/relationships/image" Target="../media/image1419.png"/><Relationship Id="rId190" Type="http://schemas.openxmlformats.org/officeDocument/2006/relationships/image" Target="../media/image1566.png"/><Relationship Id="rId42" Type="http://schemas.openxmlformats.org/officeDocument/2006/relationships/image" Target="../media/image1510.png"/><Relationship Id="rId41" Type="http://schemas.openxmlformats.org/officeDocument/2006/relationships/image" Target="../media/image1463.png"/><Relationship Id="rId44" Type="http://schemas.openxmlformats.org/officeDocument/2006/relationships/image" Target="../media/image1421.png"/><Relationship Id="rId194" Type="http://schemas.openxmlformats.org/officeDocument/2006/relationships/image" Target="../media/image1582.png"/><Relationship Id="rId43" Type="http://schemas.openxmlformats.org/officeDocument/2006/relationships/image" Target="../media/image1423.png"/><Relationship Id="rId193" Type="http://schemas.openxmlformats.org/officeDocument/2006/relationships/image" Target="../media/image1584.png"/><Relationship Id="rId46" Type="http://schemas.openxmlformats.org/officeDocument/2006/relationships/image" Target="../media/image1439.png"/><Relationship Id="rId192" Type="http://schemas.openxmlformats.org/officeDocument/2006/relationships/image" Target="../media/image1568.png"/><Relationship Id="rId45" Type="http://schemas.openxmlformats.org/officeDocument/2006/relationships/image" Target="../media/image1428.png"/><Relationship Id="rId191" Type="http://schemas.openxmlformats.org/officeDocument/2006/relationships/image" Target="../media/image1574.png"/><Relationship Id="rId48" Type="http://schemas.openxmlformats.org/officeDocument/2006/relationships/image" Target="../media/image1433.png"/><Relationship Id="rId187" Type="http://schemas.openxmlformats.org/officeDocument/2006/relationships/image" Target="../media/image1556.png"/><Relationship Id="rId47" Type="http://schemas.openxmlformats.org/officeDocument/2006/relationships/image" Target="../media/image1418.png"/><Relationship Id="rId186" Type="http://schemas.openxmlformats.org/officeDocument/2006/relationships/image" Target="../media/image1657.png"/><Relationship Id="rId185" Type="http://schemas.openxmlformats.org/officeDocument/2006/relationships/image" Target="../media/image1558.png"/><Relationship Id="rId49" Type="http://schemas.openxmlformats.org/officeDocument/2006/relationships/image" Target="../media/image1422.png"/><Relationship Id="rId184" Type="http://schemas.openxmlformats.org/officeDocument/2006/relationships/image" Target="../media/image1565.png"/><Relationship Id="rId189" Type="http://schemas.openxmlformats.org/officeDocument/2006/relationships/image" Target="../media/image1579.png"/><Relationship Id="rId188" Type="http://schemas.openxmlformats.org/officeDocument/2006/relationships/image" Target="../media/image1544.png"/><Relationship Id="rId31" Type="http://schemas.openxmlformats.org/officeDocument/2006/relationships/image" Target="../media/image1417.png"/><Relationship Id="rId30" Type="http://schemas.openxmlformats.org/officeDocument/2006/relationships/image" Target="../media/image1633.png"/><Relationship Id="rId33" Type="http://schemas.openxmlformats.org/officeDocument/2006/relationships/image" Target="../media/image1445.png"/><Relationship Id="rId183" Type="http://schemas.openxmlformats.org/officeDocument/2006/relationships/image" Target="../media/image1567.png"/><Relationship Id="rId32" Type="http://schemas.openxmlformats.org/officeDocument/2006/relationships/image" Target="../media/image1406.png"/><Relationship Id="rId182" Type="http://schemas.openxmlformats.org/officeDocument/2006/relationships/image" Target="../media/image1578.png"/><Relationship Id="rId35" Type="http://schemas.openxmlformats.org/officeDocument/2006/relationships/image" Target="../media/image1414.png"/><Relationship Id="rId181" Type="http://schemas.openxmlformats.org/officeDocument/2006/relationships/image" Target="../media/image1563.png"/><Relationship Id="rId34" Type="http://schemas.openxmlformats.org/officeDocument/2006/relationships/image" Target="../media/image1416.png"/><Relationship Id="rId180" Type="http://schemas.openxmlformats.org/officeDocument/2006/relationships/image" Target="../media/image1546.png"/><Relationship Id="rId37" Type="http://schemas.openxmlformats.org/officeDocument/2006/relationships/image" Target="../media/image1403.png"/><Relationship Id="rId176" Type="http://schemas.openxmlformats.org/officeDocument/2006/relationships/image" Target="../media/image1547.png"/><Relationship Id="rId36" Type="http://schemas.openxmlformats.org/officeDocument/2006/relationships/image" Target="../media/image1420.png"/><Relationship Id="rId175" Type="http://schemas.openxmlformats.org/officeDocument/2006/relationships/image" Target="../media/image1620.png"/><Relationship Id="rId39" Type="http://schemas.openxmlformats.org/officeDocument/2006/relationships/image" Target="../media/image1429.png"/><Relationship Id="rId174" Type="http://schemas.openxmlformats.org/officeDocument/2006/relationships/image" Target="../media/image1554.png"/><Relationship Id="rId38" Type="http://schemas.openxmlformats.org/officeDocument/2006/relationships/image" Target="../media/image1415.png"/><Relationship Id="rId173" Type="http://schemas.openxmlformats.org/officeDocument/2006/relationships/image" Target="../media/image1557.png"/><Relationship Id="rId179" Type="http://schemas.openxmlformats.org/officeDocument/2006/relationships/image" Target="../media/image1561.png"/><Relationship Id="rId178" Type="http://schemas.openxmlformats.org/officeDocument/2006/relationships/image" Target="../media/image1550.png"/><Relationship Id="rId177" Type="http://schemas.openxmlformats.org/officeDocument/2006/relationships/image" Target="../media/image1543.png"/><Relationship Id="rId20" Type="http://schemas.openxmlformats.org/officeDocument/2006/relationships/image" Target="../media/image1431.png"/><Relationship Id="rId22" Type="http://schemas.openxmlformats.org/officeDocument/2006/relationships/image" Target="../media/image1396.png"/><Relationship Id="rId21" Type="http://schemas.openxmlformats.org/officeDocument/2006/relationships/image" Target="../media/image1412.png"/><Relationship Id="rId24" Type="http://schemas.openxmlformats.org/officeDocument/2006/relationships/image" Target="../media/image1402.png"/><Relationship Id="rId23" Type="http://schemas.openxmlformats.org/officeDocument/2006/relationships/image" Target="../media/image1391.png"/><Relationship Id="rId26" Type="http://schemas.openxmlformats.org/officeDocument/2006/relationships/image" Target="../media/image1392.png"/><Relationship Id="rId25" Type="http://schemas.openxmlformats.org/officeDocument/2006/relationships/image" Target="../media/image1395.png"/><Relationship Id="rId28" Type="http://schemas.openxmlformats.org/officeDocument/2006/relationships/image" Target="../media/image1411.png"/><Relationship Id="rId27" Type="http://schemas.openxmlformats.org/officeDocument/2006/relationships/image" Target="../media/image1399.png"/><Relationship Id="rId29" Type="http://schemas.openxmlformats.org/officeDocument/2006/relationships/image" Target="../media/image1404.png"/><Relationship Id="rId11" Type="http://schemas.openxmlformats.org/officeDocument/2006/relationships/image" Target="../media/image1389.png"/><Relationship Id="rId10" Type="http://schemas.openxmlformats.org/officeDocument/2006/relationships/image" Target="../media/image1393.png"/><Relationship Id="rId13" Type="http://schemas.openxmlformats.org/officeDocument/2006/relationships/image" Target="../media/image1388.png"/><Relationship Id="rId12" Type="http://schemas.openxmlformats.org/officeDocument/2006/relationships/image" Target="../media/image1410.png"/><Relationship Id="rId15" Type="http://schemas.openxmlformats.org/officeDocument/2006/relationships/image" Target="../media/image1387.png"/><Relationship Id="rId198" Type="http://schemas.openxmlformats.org/officeDocument/2006/relationships/image" Target="../media/image1621.png"/><Relationship Id="rId14" Type="http://schemas.openxmlformats.org/officeDocument/2006/relationships/image" Target="../media/image1384.png"/><Relationship Id="rId197" Type="http://schemas.openxmlformats.org/officeDocument/2006/relationships/image" Target="../media/image1597.png"/><Relationship Id="rId17" Type="http://schemas.openxmlformats.org/officeDocument/2006/relationships/image" Target="../media/image1577.png"/><Relationship Id="rId196" Type="http://schemas.openxmlformats.org/officeDocument/2006/relationships/image" Target="../media/image1573.png"/><Relationship Id="rId16" Type="http://schemas.openxmlformats.org/officeDocument/2006/relationships/image" Target="../media/image1400.png"/><Relationship Id="rId195" Type="http://schemas.openxmlformats.org/officeDocument/2006/relationships/image" Target="../media/image1575.png"/><Relationship Id="rId19" Type="http://schemas.openxmlformats.org/officeDocument/2006/relationships/image" Target="../media/image1424.png"/><Relationship Id="rId18" Type="http://schemas.openxmlformats.org/officeDocument/2006/relationships/image" Target="../media/image1401.png"/><Relationship Id="rId199" Type="http://schemas.openxmlformats.org/officeDocument/2006/relationships/image" Target="../media/image1580.png"/><Relationship Id="rId84" Type="http://schemas.openxmlformats.org/officeDocument/2006/relationships/image" Target="../media/image1460.png"/><Relationship Id="rId83" Type="http://schemas.openxmlformats.org/officeDocument/2006/relationships/image" Target="../media/image1462.png"/><Relationship Id="rId86" Type="http://schemas.openxmlformats.org/officeDocument/2006/relationships/image" Target="../media/image1466.png"/><Relationship Id="rId85" Type="http://schemas.openxmlformats.org/officeDocument/2006/relationships/image" Target="../media/image1458.png"/><Relationship Id="rId88" Type="http://schemas.openxmlformats.org/officeDocument/2006/relationships/image" Target="../media/image1472.png"/><Relationship Id="rId150" Type="http://schemas.openxmlformats.org/officeDocument/2006/relationships/image" Target="../media/image1636.png"/><Relationship Id="rId87" Type="http://schemas.openxmlformats.org/officeDocument/2006/relationships/image" Target="../media/image1476.png"/><Relationship Id="rId89" Type="http://schemas.openxmlformats.org/officeDocument/2006/relationships/image" Target="../media/image1501.png"/><Relationship Id="rId80" Type="http://schemas.openxmlformats.org/officeDocument/2006/relationships/image" Target="../media/image1465.png"/><Relationship Id="rId82" Type="http://schemas.openxmlformats.org/officeDocument/2006/relationships/image" Target="../media/image1461.png"/><Relationship Id="rId81" Type="http://schemas.openxmlformats.org/officeDocument/2006/relationships/image" Target="../media/image1468.png"/><Relationship Id="rId1" Type="http://schemas.openxmlformats.org/officeDocument/2006/relationships/image" Target="../media/image1390.png"/><Relationship Id="rId2" Type="http://schemas.openxmlformats.org/officeDocument/2006/relationships/image" Target="../media/image1398.png"/><Relationship Id="rId3" Type="http://schemas.openxmlformats.org/officeDocument/2006/relationships/image" Target="../media/image1381.png"/><Relationship Id="rId149" Type="http://schemas.openxmlformats.org/officeDocument/2006/relationships/image" Target="../media/image1531.png"/><Relationship Id="rId4" Type="http://schemas.openxmlformats.org/officeDocument/2006/relationships/image" Target="../media/image1397.png"/><Relationship Id="rId148" Type="http://schemas.openxmlformats.org/officeDocument/2006/relationships/image" Target="../media/image1518.png"/><Relationship Id="rId9" Type="http://schemas.openxmlformats.org/officeDocument/2006/relationships/image" Target="../media/image1407.png"/><Relationship Id="rId143" Type="http://schemas.openxmlformats.org/officeDocument/2006/relationships/image" Target="../media/image1529.png"/><Relationship Id="rId142" Type="http://schemas.openxmlformats.org/officeDocument/2006/relationships/image" Target="../media/image1504.png"/><Relationship Id="rId141" Type="http://schemas.openxmlformats.org/officeDocument/2006/relationships/image" Target="../media/image1527.png"/><Relationship Id="rId140" Type="http://schemas.openxmlformats.org/officeDocument/2006/relationships/image" Target="../media/image1534.png"/><Relationship Id="rId5" Type="http://schemas.openxmlformats.org/officeDocument/2006/relationships/image" Target="../media/image1394.png"/><Relationship Id="rId147" Type="http://schemas.openxmlformats.org/officeDocument/2006/relationships/image" Target="../media/image1553.png"/><Relationship Id="rId6" Type="http://schemas.openxmlformats.org/officeDocument/2006/relationships/image" Target="../media/image1509.png"/><Relationship Id="rId146" Type="http://schemas.openxmlformats.org/officeDocument/2006/relationships/image" Target="../media/image1515.png"/><Relationship Id="rId7" Type="http://schemas.openxmlformats.org/officeDocument/2006/relationships/image" Target="../media/image1385.png"/><Relationship Id="rId145" Type="http://schemas.openxmlformats.org/officeDocument/2006/relationships/image" Target="../media/image1506.png"/><Relationship Id="rId8" Type="http://schemas.openxmlformats.org/officeDocument/2006/relationships/image" Target="../media/image1405.png"/><Relationship Id="rId144" Type="http://schemas.openxmlformats.org/officeDocument/2006/relationships/image" Target="../media/image1524.png"/><Relationship Id="rId73" Type="http://schemas.openxmlformats.org/officeDocument/2006/relationships/image" Target="../media/image1442.png"/><Relationship Id="rId72" Type="http://schemas.openxmlformats.org/officeDocument/2006/relationships/image" Target="../media/image1444.png"/><Relationship Id="rId75" Type="http://schemas.openxmlformats.org/officeDocument/2006/relationships/image" Target="../media/image1453.png"/><Relationship Id="rId74" Type="http://schemas.openxmlformats.org/officeDocument/2006/relationships/image" Target="../media/image1438.png"/><Relationship Id="rId77" Type="http://schemas.openxmlformats.org/officeDocument/2006/relationships/image" Target="../media/image1467.png"/><Relationship Id="rId76" Type="http://schemas.openxmlformats.org/officeDocument/2006/relationships/image" Target="../media/image1454.png"/><Relationship Id="rId79" Type="http://schemas.openxmlformats.org/officeDocument/2006/relationships/image" Target="../media/image1450.png"/><Relationship Id="rId78" Type="http://schemas.openxmlformats.org/officeDocument/2006/relationships/image" Target="../media/image1562.png"/><Relationship Id="rId71" Type="http://schemas.openxmlformats.org/officeDocument/2006/relationships/image" Target="../media/image1464.png"/><Relationship Id="rId70" Type="http://schemas.openxmlformats.org/officeDocument/2006/relationships/image" Target="../media/image1448.png"/><Relationship Id="rId139" Type="http://schemas.openxmlformats.org/officeDocument/2006/relationships/image" Target="../media/image1507.png"/><Relationship Id="rId138" Type="http://schemas.openxmlformats.org/officeDocument/2006/relationships/image" Target="../media/image1635.png"/><Relationship Id="rId137" Type="http://schemas.openxmlformats.org/officeDocument/2006/relationships/image" Target="../media/image1548.png"/><Relationship Id="rId132" Type="http://schemas.openxmlformats.org/officeDocument/2006/relationships/image" Target="../media/image1511.png"/><Relationship Id="rId131" Type="http://schemas.openxmlformats.org/officeDocument/2006/relationships/image" Target="../media/image1516.png"/><Relationship Id="rId130" Type="http://schemas.openxmlformats.org/officeDocument/2006/relationships/image" Target="../media/image1520.png"/><Relationship Id="rId136" Type="http://schemas.openxmlformats.org/officeDocument/2006/relationships/image" Target="../media/image1505.png"/><Relationship Id="rId135" Type="http://schemas.openxmlformats.org/officeDocument/2006/relationships/image" Target="../media/image1503.png"/><Relationship Id="rId134" Type="http://schemas.openxmlformats.org/officeDocument/2006/relationships/image" Target="../media/image1555.png"/><Relationship Id="rId133" Type="http://schemas.openxmlformats.org/officeDocument/2006/relationships/image" Target="../media/image1502.png"/><Relationship Id="rId62" Type="http://schemas.openxmlformats.org/officeDocument/2006/relationships/image" Target="../media/image1440.png"/><Relationship Id="rId61" Type="http://schemas.openxmlformats.org/officeDocument/2006/relationships/image" Target="../media/image1455.png"/><Relationship Id="rId64" Type="http://schemas.openxmlformats.org/officeDocument/2006/relationships/image" Target="../media/image1459.png"/><Relationship Id="rId63" Type="http://schemas.openxmlformats.org/officeDocument/2006/relationships/image" Target="../media/image1446.png"/><Relationship Id="rId66" Type="http://schemas.openxmlformats.org/officeDocument/2006/relationships/image" Target="../media/image1441.png"/><Relationship Id="rId172" Type="http://schemas.openxmlformats.org/officeDocument/2006/relationships/image" Target="../media/image1545.png"/><Relationship Id="rId65" Type="http://schemas.openxmlformats.org/officeDocument/2006/relationships/image" Target="../media/image1457.png"/><Relationship Id="rId171" Type="http://schemas.openxmlformats.org/officeDocument/2006/relationships/image" Target="../media/image1583.png"/><Relationship Id="rId68" Type="http://schemas.openxmlformats.org/officeDocument/2006/relationships/image" Target="../media/image1456.png"/><Relationship Id="rId170" Type="http://schemas.openxmlformats.org/officeDocument/2006/relationships/image" Target="../media/image1542.png"/><Relationship Id="rId67" Type="http://schemas.openxmlformats.org/officeDocument/2006/relationships/image" Target="../media/image1535.png"/><Relationship Id="rId60" Type="http://schemas.openxmlformats.org/officeDocument/2006/relationships/image" Target="../media/image1434.png"/><Relationship Id="rId165" Type="http://schemas.openxmlformats.org/officeDocument/2006/relationships/image" Target="../media/image1551.png"/><Relationship Id="rId69" Type="http://schemas.openxmlformats.org/officeDocument/2006/relationships/image" Target="../media/image1449.png"/><Relationship Id="rId164" Type="http://schemas.openxmlformats.org/officeDocument/2006/relationships/image" Target="../media/image1589.png"/><Relationship Id="rId163" Type="http://schemas.openxmlformats.org/officeDocument/2006/relationships/image" Target="../media/image1618.png"/><Relationship Id="rId162" Type="http://schemas.openxmlformats.org/officeDocument/2006/relationships/image" Target="../media/image1539.png"/><Relationship Id="rId169" Type="http://schemas.openxmlformats.org/officeDocument/2006/relationships/image" Target="../media/image1549.png"/><Relationship Id="rId168" Type="http://schemas.openxmlformats.org/officeDocument/2006/relationships/image" Target="../media/image1564.png"/><Relationship Id="rId167" Type="http://schemas.openxmlformats.org/officeDocument/2006/relationships/image" Target="../media/image1559.png"/><Relationship Id="rId166" Type="http://schemas.openxmlformats.org/officeDocument/2006/relationships/image" Target="../media/image1541.png"/><Relationship Id="rId51" Type="http://schemas.openxmlformats.org/officeDocument/2006/relationships/image" Target="../media/image1437.png"/><Relationship Id="rId50" Type="http://schemas.openxmlformats.org/officeDocument/2006/relationships/image" Target="../media/image1436.png"/><Relationship Id="rId53" Type="http://schemas.openxmlformats.org/officeDocument/2006/relationships/image" Target="../media/image1447.png"/><Relationship Id="rId52" Type="http://schemas.openxmlformats.org/officeDocument/2006/relationships/image" Target="../media/image1425.png"/><Relationship Id="rId55" Type="http://schemas.openxmlformats.org/officeDocument/2006/relationships/image" Target="../media/image1427.png"/><Relationship Id="rId161" Type="http://schemas.openxmlformats.org/officeDocument/2006/relationships/image" Target="../media/image1537.png"/><Relationship Id="rId54" Type="http://schemas.openxmlformats.org/officeDocument/2006/relationships/image" Target="../media/image1519.png"/><Relationship Id="rId160" Type="http://schemas.openxmlformats.org/officeDocument/2006/relationships/image" Target="../media/image1532.png"/><Relationship Id="rId57" Type="http://schemas.openxmlformats.org/officeDocument/2006/relationships/image" Target="../media/image1451.png"/><Relationship Id="rId56" Type="http://schemas.openxmlformats.org/officeDocument/2006/relationships/image" Target="../media/image1430.png"/><Relationship Id="rId159" Type="http://schemas.openxmlformats.org/officeDocument/2006/relationships/image" Target="../media/image1560.png"/><Relationship Id="rId59" Type="http://schemas.openxmlformats.org/officeDocument/2006/relationships/image" Target="../media/image1443.png"/><Relationship Id="rId154" Type="http://schemas.openxmlformats.org/officeDocument/2006/relationships/image" Target="../media/image1525.png"/><Relationship Id="rId58" Type="http://schemas.openxmlformats.org/officeDocument/2006/relationships/image" Target="../media/image1452.png"/><Relationship Id="rId153" Type="http://schemas.openxmlformats.org/officeDocument/2006/relationships/image" Target="../media/image1533.png"/><Relationship Id="rId152" Type="http://schemas.openxmlformats.org/officeDocument/2006/relationships/image" Target="../media/image1522.png"/><Relationship Id="rId151" Type="http://schemas.openxmlformats.org/officeDocument/2006/relationships/image" Target="../media/image1514.png"/><Relationship Id="rId158" Type="http://schemas.openxmlformats.org/officeDocument/2006/relationships/image" Target="../media/image1530.png"/><Relationship Id="rId157" Type="http://schemas.openxmlformats.org/officeDocument/2006/relationships/image" Target="../media/image1521.png"/><Relationship Id="rId156" Type="http://schemas.openxmlformats.org/officeDocument/2006/relationships/image" Target="../media/image1536.png"/><Relationship Id="rId155" Type="http://schemas.openxmlformats.org/officeDocument/2006/relationships/image" Target="../media/image1523.png"/><Relationship Id="rId107" Type="http://schemas.openxmlformats.org/officeDocument/2006/relationships/image" Target="../media/image1482.png"/><Relationship Id="rId228" Type="http://schemas.openxmlformats.org/officeDocument/2006/relationships/image" Target="../media/image1602.png"/><Relationship Id="rId106" Type="http://schemas.openxmlformats.org/officeDocument/2006/relationships/image" Target="../media/image1485.png"/><Relationship Id="rId227" Type="http://schemas.openxmlformats.org/officeDocument/2006/relationships/image" Target="../media/image1634.png"/><Relationship Id="rId105" Type="http://schemas.openxmlformats.org/officeDocument/2006/relationships/image" Target="../media/image1489.png"/><Relationship Id="rId226" Type="http://schemas.openxmlformats.org/officeDocument/2006/relationships/image" Target="../media/image1609.png"/><Relationship Id="rId104" Type="http://schemas.openxmlformats.org/officeDocument/2006/relationships/image" Target="../media/image1484.png"/><Relationship Id="rId225" Type="http://schemas.openxmlformats.org/officeDocument/2006/relationships/image" Target="../media/image1590.png"/><Relationship Id="rId109" Type="http://schemas.openxmlformats.org/officeDocument/2006/relationships/image" Target="../media/image1473.png"/><Relationship Id="rId108" Type="http://schemas.openxmlformats.org/officeDocument/2006/relationships/image" Target="../media/image1512.png"/><Relationship Id="rId220" Type="http://schemas.openxmlformats.org/officeDocument/2006/relationships/image" Target="../media/image1588.png"/><Relationship Id="rId103" Type="http://schemas.openxmlformats.org/officeDocument/2006/relationships/image" Target="../media/image1478.png"/><Relationship Id="rId224" Type="http://schemas.openxmlformats.org/officeDocument/2006/relationships/image" Target="../media/image1585.png"/><Relationship Id="rId102" Type="http://schemas.openxmlformats.org/officeDocument/2006/relationships/image" Target="../media/image1614.png"/><Relationship Id="rId223" Type="http://schemas.openxmlformats.org/officeDocument/2006/relationships/image" Target="../media/image1598.png"/><Relationship Id="rId101" Type="http://schemas.openxmlformats.org/officeDocument/2006/relationships/image" Target="../media/image1479.png"/><Relationship Id="rId222" Type="http://schemas.openxmlformats.org/officeDocument/2006/relationships/image" Target="../media/image1628.png"/><Relationship Id="rId100" Type="http://schemas.openxmlformats.org/officeDocument/2006/relationships/image" Target="../media/image1483.png"/><Relationship Id="rId221" Type="http://schemas.openxmlformats.org/officeDocument/2006/relationships/image" Target="../media/image1622.png"/><Relationship Id="rId217" Type="http://schemas.openxmlformats.org/officeDocument/2006/relationships/image" Target="../media/image1587.png"/><Relationship Id="rId216" Type="http://schemas.openxmlformats.org/officeDocument/2006/relationships/image" Target="../media/image1604.png"/><Relationship Id="rId215" Type="http://schemas.openxmlformats.org/officeDocument/2006/relationships/image" Target="../media/image1592.png"/><Relationship Id="rId214" Type="http://schemas.openxmlformats.org/officeDocument/2006/relationships/image" Target="../media/image1591.png"/><Relationship Id="rId219" Type="http://schemas.openxmlformats.org/officeDocument/2006/relationships/image" Target="../media/image1600.png"/><Relationship Id="rId218" Type="http://schemas.openxmlformats.org/officeDocument/2006/relationships/image" Target="../media/image1619.png"/><Relationship Id="rId213" Type="http://schemas.openxmlformats.org/officeDocument/2006/relationships/image" Target="../media/image1601.png"/><Relationship Id="rId212" Type="http://schemas.openxmlformats.org/officeDocument/2006/relationships/image" Target="../media/image1612.png"/><Relationship Id="rId211" Type="http://schemas.openxmlformats.org/officeDocument/2006/relationships/image" Target="../media/image1616.png"/><Relationship Id="rId210" Type="http://schemas.openxmlformats.org/officeDocument/2006/relationships/image" Target="../media/image1655.png"/><Relationship Id="rId129" Type="http://schemas.openxmlformats.org/officeDocument/2006/relationships/image" Target="../media/image1526.png"/><Relationship Id="rId128" Type="http://schemas.openxmlformats.org/officeDocument/2006/relationships/image" Target="../media/image1500.png"/><Relationship Id="rId127" Type="http://schemas.openxmlformats.org/officeDocument/2006/relationships/image" Target="../media/image1496.png"/><Relationship Id="rId126" Type="http://schemas.openxmlformats.org/officeDocument/2006/relationships/image" Target="../media/image1540.png"/><Relationship Id="rId121" Type="http://schemas.openxmlformats.org/officeDocument/2006/relationships/image" Target="../media/image1487.png"/><Relationship Id="rId120" Type="http://schemas.openxmlformats.org/officeDocument/2006/relationships/image" Target="../media/image1493.png"/><Relationship Id="rId125" Type="http://schemas.openxmlformats.org/officeDocument/2006/relationships/image" Target="../media/image1517.png"/><Relationship Id="rId124" Type="http://schemas.openxmlformats.org/officeDocument/2006/relationships/image" Target="../media/image1538.png"/><Relationship Id="rId123" Type="http://schemas.openxmlformats.org/officeDocument/2006/relationships/image" Target="../media/image1508.png"/><Relationship Id="rId122" Type="http://schemas.openxmlformats.org/officeDocument/2006/relationships/image" Target="../media/image1499.png"/><Relationship Id="rId95" Type="http://schemas.openxmlformats.org/officeDocument/2006/relationships/image" Target="../media/image1475.png"/><Relationship Id="rId94" Type="http://schemas.openxmlformats.org/officeDocument/2006/relationships/image" Target="../media/image1469.png"/><Relationship Id="rId97" Type="http://schemas.openxmlformats.org/officeDocument/2006/relationships/image" Target="../media/image1494.png"/><Relationship Id="rId96" Type="http://schemas.openxmlformats.org/officeDocument/2006/relationships/image" Target="../media/image1470.png"/><Relationship Id="rId99" Type="http://schemas.openxmlformats.org/officeDocument/2006/relationships/image" Target="../media/image1490.png"/><Relationship Id="rId98" Type="http://schemas.openxmlformats.org/officeDocument/2006/relationships/image" Target="../media/image1481.png"/><Relationship Id="rId91" Type="http://schemas.openxmlformats.org/officeDocument/2006/relationships/image" Target="../media/image1471.png"/><Relationship Id="rId90" Type="http://schemas.openxmlformats.org/officeDocument/2006/relationships/image" Target="../media/image1552.png"/><Relationship Id="rId93" Type="http://schemas.openxmlformats.org/officeDocument/2006/relationships/image" Target="../media/image1492.png"/><Relationship Id="rId92" Type="http://schemas.openxmlformats.org/officeDocument/2006/relationships/image" Target="../media/image1474.png"/><Relationship Id="rId118" Type="http://schemas.openxmlformats.org/officeDocument/2006/relationships/image" Target="../media/image1488.png"/><Relationship Id="rId117" Type="http://schemas.openxmlformats.org/officeDocument/2006/relationships/image" Target="../media/image1497.png"/><Relationship Id="rId116" Type="http://schemas.openxmlformats.org/officeDocument/2006/relationships/image" Target="../media/image1486.png"/><Relationship Id="rId115" Type="http://schemas.openxmlformats.org/officeDocument/2006/relationships/image" Target="../media/image1615.png"/><Relationship Id="rId119" Type="http://schemas.openxmlformats.org/officeDocument/2006/relationships/image" Target="../media/image1477.png"/><Relationship Id="rId110" Type="http://schemas.openxmlformats.org/officeDocument/2006/relationships/image" Target="../media/image1491.png"/><Relationship Id="rId114" Type="http://schemas.openxmlformats.org/officeDocument/2006/relationships/image" Target="../media/image1498.png"/><Relationship Id="rId113" Type="http://schemas.openxmlformats.org/officeDocument/2006/relationships/image" Target="../media/image1495.png"/><Relationship Id="rId112" Type="http://schemas.openxmlformats.org/officeDocument/2006/relationships/image" Target="../media/image1480.png"/><Relationship Id="rId111" Type="http://schemas.openxmlformats.org/officeDocument/2006/relationships/image" Target="../media/image1528.png"/><Relationship Id="rId206" Type="http://schemas.openxmlformats.org/officeDocument/2006/relationships/image" Target="../media/image1595.png"/><Relationship Id="rId205" Type="http://schemas.openxmlformats.org/officeDocument/2006/relationships/image" Target="../media/image1569.png"/><Relationship Id="rId204" Type="http://schemas.openxmlformats.org/officeDocument/2006/relationships/image" Target="../media/image1594.png"/><Relationship Id="rId203" Type="http://schemas.openxmlformats.org/officeDocument/2006/relationships/image" Target="../media/image1570.png"/><Relationship Id="rId209" Type="http://schemas.openxmlformats.org/officeDocument/2006/relationships/image" Target="../media/image1593.png"/><Relationship Id="rId208" Type="http://schemas.openxmlformats.org/officeDocument/2006/relationships/image" Target="../media/image1586.png"/><Relationship Id="rId207" Type="http://schemas.openxmlformats.org/officeDocument/2006/relationships/image" Target="../media/image1576.png"/><Relationship Id="rId202" Type="http://schemas.openxmlformats.org/officeDocument/2006/relationships/image" Target="../media/image1572.png"/><Relationship Id="rId201" Type="http://schemas.openxmlformats.org/officeDocument/2006/relationships/image" Target="../media/image1581.png"/><Relationship Id="rId200" Type="http://schemas.openxmlformats.org/officeDocument/2006/relationships/image" Target="../media/image1571.png"/></Relationships>
</file>

<file path=xl/drawings/_rels/drawing4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646.png"/><Relationship Id="rId42" Type="http://schemas.openxmlformats.org/officeDocument/2006/relationships/image" Target="../media/image1767.png"/><Relationship Id="rId41" Type="http://schemas.openxmlformats.org/officeDocument/2006/relationships/image" Target="../media/image1650.png"/><Relationship Id="rId44" Type="http://schemas.openxmlformats.org/officeDocument/2006/relationships/image" Target="../media/image1664.png"/><Relationship Id="rId43" Type="http://schemas.openxmlformats.org/officeDocument/2006/relationships/image" Target="../media/image1678.png"/><Relationship Id="rId46" Type="http://schemas.openxmlformats.org/officeDocument/2006/relationships/image" Target="../media/image1673.png"/><Relationship Id="rId45" Type="http://schemas.openxmlformats.org/officeDocument/2006/relationships/image" Target="../media/image1660.png"/><Relationship Id="rId48" Type="http://schemas.openxmlformats.org/officeDocument/2006/relationships/image" Target="../media/image1653.png"/><Relationship Id="rId47" Type="http://schemas.openxmlformats.org/officeDocument/2006/relationships/image" Target="../media/image1661.png"/><Relationship Id="rId49" Type="http://schemas.openxmlformats.org/officeDocument/2006/relationships/image" Target="../media/image1651.png"/><Relationship Id="rId31" Type="http://schemas.openxmlformats.org/officeDocument/2006/relationships/image" Target="../media/image1639.png"/><Relationship Id="rId30" Type="http://schemas.openxmlformats.org/officeDocument/2006/relationships/image" Target="../media/image1766.png"/><Relationship Id="rId33" Type="http://schemas.openxmlformats.org/officeDocument/2006/relationships/image" Target="../media/image1645.png"/><Relationship Id="rId32" Type="http://schemas.openxmlformats.org/officeDocument/2006/relationships/image" Target="../media/image1643.png"/><Relationship Id="rId35" Type="http://schemas.openxmlformats.org/officeDocument/2006/relationships/image" Target="../media/image1668.png"/><Relationship Id="rId34" Type="http://schemas.openxmlformats.org/officeDocument/2006/relationships/image" Target="../media/image1632.png"/><Relationship Id="rId37" Type="http://schemas.openxmlformats.org/officeDocument/2006/relationships/image" Target="../media/image1649.png"/><Relationship Id="rId36" Type="http://schemas.openxmlformats.org/officeDocument/2006/relationships/image" Target="../media/image1638.png"/><Relationship Id="rId39" Type="http://schemas.openxmlformats.org/officeDocument/2006/relationships/image" Target="../media/image1694.png"/><Relationship Id="rId38" Type="http://schemas.openxmlformats.org/officeDocument/2006/relationships/image" Target="../media/image1647.png"/><Relationship Id="rId20" Type="http://schemas.openxmlformats.org/officeDocument/2006/relationships/image" Target="../media/image1613.png"/><Relationship Id="rId22" Type="http://schemas.openxmlformats.org/officeDocument/2006/relationships/image" Target="../media/image1631.png"/><Relationship Id="rId21" Type="http://schemas.openxmlformats.org/officeDocument/2006/relationships/image" Target="../media/image1629.png"/><Relationship Id="rId24" Type="http://schemas.openxmlformats.org/officeDocument/2006/relationships/image" Target="../media/image1626.png"/><Relationship Id="rId23" Type="http://schemas.openxmlformats.org/officeDocument/2006/relationships/image" Target="../media/image1644.png"/><Relationship Id="rId26" Type="http://schemas.openxmlformats.org/officeDocument/2006/relationships/image" Target="../media/image1672.png"/><Relationship Id="rId25" Type="http://schemas.openxmlformats.org/officeDocument/2006/relationships/image" Target="../media/image1662.png"/><Relationship Id="rId28" Type="http://schemas.openxmlformats.org/officeDocument/2006/relationships/image" Target="../media/image1648.png"/><Relationship Id="rId27" Type="http://schemas.openxmlformats.org/officeDocument/2006/relationships/image" Target="../media/image1641.png"/><Relationship Id="rId29" Type="http://schemas.openxmlformats.org/officeDocument/2006/relationships/image" Target="../media/image1640.png"/><Relationship Id="rId11" Type="http://schemas.openxmlformats.org/officeDocument/2006/relationships/image" Target="../media/image1625.png"/><Relationship Id="rId10" Type="http://schemas.openxmlformats.org/officeDocument/2006/relationships/image" Target="../media/image1603.png"/><Relationship Id="rId13" Type="http://schemas.openxmlformats.org/officeDocument/2006/relationships/image" Target="../media/image1617.png"/><Relationship Id="rId12" Type="http://schemas.openxmlformats.org/officeDocument/2006/relationships/image" Target="../media/image1637.png"/><Relationship Id="rId15" Type="http://schemas.openxmlformats.org/officeDocument/2006/relationships/image" Target="../media/image1608.png"/><Relationship Id="rId14" Type="http://schemas.openxmlformats.org/officeDocument/2006/relationships/image" Target="../media/image1658.png"/><Relationship Id="rId17" Type="http://schemas.openxmlformats.org/officeDocument/2006/relationships/image" Target="../media/image1737.png"/><Relationship Id="rId16" Type="http://schemas.openxmlformats.org/officeDocument/2006/relationships/image" Target="../media/image1630.png"/><Relationship Id="rId19" Type="http://schemas.openxmlformats.org/officeDocument/2006/relationships/image" Target="../media/image1627.png"/><Relationship Id="rId18" Type="http://schemas.openxmlformats.org/officeDocument/2006/relationships/image" Target="../media/image1623.png"/><Relationship Id="rId80" Type="http://schemas.openxmlformats.org/officeDocument/2006/relationships/image" Target="../media/image1695.png"/><Relationship Id="rId81" Type="http://schemas.openxmlformats.org/officeDocument/2006/relationships/image" Target="../media/image1674.png"/><Relationship Id="rId1" Type="http://schemas.openxmlformats.org/officeDocument/2006/relationships/image" Target="../media/image1596.png"/><Relationship Id="rId2" Type="http://schemas.openxmlformats.org/officeDocument/2006/relationships/image" Target="../media/image1607.png"/><Relationship Id="rId3" Type="http://schemas.openxmlformats.org/officeDocument/2006/relationships/image" Target="../media/image1642.png"/><Relationship Id="rId4" Type="http://schemas.openxmlformats.org/officeDocument/2006/relationships/image" Target="../media/image1624.png"/><Relationship Id="rId9" Type="http://schemas.openxmlformats.org/officeDocument/2006/relationships/image" Target="../media/image1610.png"/><Relationship Id="rId5" Type="http://schemas.openxmlformats.org/officeDocument/2006/relationships/image" Target="../media/image1611.png"/><Relationship Id="rId6" Type="http://schemas.openxmlformats.org/officeDocument/2006/relationships/image" Target="../media/image1765.png"/><Relationship Id="rId7" Type="http://schemas.openxmlformats.org/officeDocument/2006/relationships/image" Target="../media/image1599.png"/><Relationship Id="rId8" Type="http://schemas.openxmlformats.org/officeDocument/2006/relationships/image" Target="../media/image1605.png"/><Relationship Id="rId73" Type="http://schemas.openxmlformats.org/officeDocument/2006/relationships/image" Target="../media/image1685.png"/><Relationship Id="rId72" Type="http://schemas.openxmlformats.org/officeDocument/2006/relationships/image" Target="../media/image1684.png"/><Relationship Id="rId75" Type="http://schemas.openxmlformats.org/officeDocument/2006/relationships/image" Target="../media/image1689.png"/><Relationship Id="rId74" Type="http://schemas.openxmlformats.org/officeDocument/2006/relationships/image" Target="../media/image1693.png"/><Relationship Id="rId77" Type="http://schemas.openxmlformats.org/officeDocument/2006/relationships/image" Target="../media/image1701.png"/><Relationship Id="rId76" Type="http://schemas.openxmlformats.org/officeDocument/2006/relationships/image" Target="../media/image1680.png"/><Relationship Id="rId79" Type="http://schemas.openxmlformats.org/officeDocument/2006/relationships/image" Target="../media/image1682.png"/><Relationship Id="rId78" Type="http://schemas.openxmlformats.org/officeDocument/2006/relationships/image" Target="../media/image1772.png"/><Relationship Id="rId71" Type="http://schemas.openxmlformats.org/officeDocument/2006/relationships/image" Target="../media/image1676.png"/><Relationship Id="rId70" Type="http://schemas.openxmlformats.org/officeDocument/2006/relationships/image" Target="../media/image1686.png"/><Relationship Id="rId62" Type="http://schemas.openxmlformats.org/officeDocument/2006/relationships/image" Target="../media/image1681.png"/><Relationship Id="rId61" Type="http://schemas.openxmlformats.org/officeDocument/2006/relationships/image" Target="../media/image1675.png"/><Relationship Id="rId64" Type="http://schemas.openxmlformats.org/officeDocument/2006/relationships/image" Target="../media/image1666.png"/><Relationship Id="rId63" Type="http://schemas.openxmlformats.org/officeDocument/2006/relationships/image" Target="../media/image1663.png"/><Relationship Id="rId66" Type="http://schemas.openxmlformats.org/officeDocument/2006/relationships/image" Target="../media/image1764.png"/><Relationship Id="rId65" Type="http://schemas.openxmlformats.org/officeDocument/2006/relationships/image" Target="../media/image1692.png"/><Relationship Id="rId68" Type="http://schemas.openxmlformats.org/officeDocument/2006/relationships/image" Target="../media/image1665.png"/><Relationship Id="rId67" Type="http://schemas.openxmlformats.org/officeDocument/2006/relationships/image" Target="../media/image1679.png"/><Relationship Id="rId60" Type="http://schemas.openxmlformats.org/officeDocument/2006/relationships/image" Target="../media/image1669.png"/><Relationship Id="rId69" Type="http://schemas.openxmlformats.org/officeDocument/2006/relationships/image" Target="../media/image1683.png"/><Relationship Id="rId51" Type="http://schemas.openxmlformats.org/officeDocument/2006/relationships/image" Target="../media/image1654.png"/><Relationship Id="rId50" Type="http://schemas.openxmlformats.org/officeDocument/2006/relationships/image" Target="../media/image1691.png"/><Relationship Id="rId53" Type="http://schemas.openxmlformats.org/officeDocument/2006/relationships/image" Target="../media/image1667.png"/><Relationship Id="rId52" Type="http://schemas.openxmlformats.org/officeDocument/2006/relationships/image" Target="../media/image1656.png"/><Relationship Id="rId55" Type="http://schemas.openxmlformats.org/officeDocument/2006/relationships/image" Target="../media/image1670.png"/><Relationship Id="rId54" Type="http://schemas.openxmlformats.org/officeDocument/2006/relationships/image" Target="../media/image1770.png"/><Relationship Id="rId57" Type="http://schemas.openxmlformats.org/officeDocument/2006/relationships/image" Target="../media/image1677.png"/><Relationship Id="rId56" Type="http://schemas.openxmlformats.org/officeDocument/2006/relationships/image" Target="../media/image1671.png"/><Relationship Id="rId59" Type="http://schemas.openxmlformats.org/officeDocument/2006/relationships/image" Target="../media/image1652.png"/><Relationship Id="rId58" Type="http://schemas.openxmlformats.org/officeDocument/2006/relationships/image" Target="../media/image1659.png"/></Relationships>
</file>

<file path=xl/drawings/_rels/drawing44.xml.rels><?xml version="1.0" encoding="UTF-8" standalone="yes"?><Relationships xmlns="http://schemas.openxmlformats.org/package/2006/relationships"><Relationship Id="rId40" Type="http://schemas.openxmlformats.org/officeDocument/2006/relationships/image" Target="../media/image1752.png"/><Relationship Id="rId42" Type="http://schemas.openxmlformats.org/officeDocument/2006/relationships/image" Target="../media/image1731.png"/><Relationship Id="rId41" Type="http://schemas.openxmlformats.org/officeDocument/2006/relationships/image" Target="../media/image1739.png"/><Relationship Id="rId44" Type="http://schemas.openxmlformats.org/officeDocument/2006/relationships/image" Target="../media/image1735.png"/><Relationship Id="rId43" Type="http://schemas.openxmlformats.org/officeDocument/2006/relationships/image" Target="../media/image1726.png"/><Relationship Id="rId46" Type="http://schemas.openxmlformats.org/officeDocument/2006/relationships/image" Target="../media/image1741.png"/><Relationship Id="rId45" Type="http://schemas.openxmlformats.org/officeDocument/2006/relationships/image" Target="../media/image1784.png"/><Relationship Id="rId48" Type="http://schemas.openxmlformats.org/officeDocument/2006/relationships/image" Target="../media/image1733.png"/><Relationship Id="rId47" Type="http://schemas.openxmlformats.org/officeDocument/2006/relationships/image" Target="../media/image1744.png"/><Relationship Id="rId49" Type="http://schemas.openxmlformats.org/officeDocument/2006/relationships/image" Target="../media/image1736.png"/><Relationship Id="rId31" Type="http://schemas.openxmlformats.org/officeDocument/2006/relationships/image" Target="../media/image1717.png"/><Relationship Id="rId30" Type="http://schemas.openxmlformats.org/officeDocument/2006/relationships/image" Target="../media/image1715.png"/><Relationship Id="rId33" Type="http://schemas.openxmlformats.org/officeDocument/2006/relationships/image" Target="../media/image1792.png"/><Relationship Id="rId32" Type="http://schemas.openxmlformats.org/officeDocument/2006/relationships/image" Target="../media/image1716.png"/><Relationship Id="rId35" Type="http://schemas.openxmlformats.org/officeDocument/2006/relationships/image" Target="../media/image1740.png"/><Relationship Id="rId34" Type="http://schemas.openxmlformats.org/officeDocument/2006/relationships/image" Target="../media/image1718.png"/><Relationship Id="rId37" Type="http://schemas.openxmlformats.org/officeDocument/2006/relationships/image" Target="../media/image1714.png"/><Relationship Id="rId36" Type="http://schemas.openxmlformats.org/officeDocument/2006/relationships/image" Target="../media/image1727.png"/><Relationship Id="rId39" Type="http://schemas.openxmlformats.org/officeDocument/2006/relationships/image" Target="../media/image1724.png"/><Relationship Id="rId38" Type="http://schemas.openxmlformats.org/officeDocument/2006/relationships/image" Target="../media/image1719.png"/><Relationship Id="rId20" Type="http://schemas.openxmlformats.org/officeDocument/2006/relationships/image" Target="../media/image1706.png"/><Relationship Id="rId22" Type="http://schemas.openxmlformats.org/officeDocument/2006/relationships/image" Target="../media/image1720.png"/><Relationship Id="rId21" Type="http://schemas.openxmlformats.org/officeDocument/2006/relationships/image" Target="../media/image1789.png"/><Relationship Id="rId24" Type="http://schemas.openxmlformats.org/officeDocument/2006/relationships/image" Target="../media/image1713.png"/><Relationship Id="rId23" Type="http://schemas.openxmlformats.org/officeDocument/2006/relationships/image" Target="../media/image1753.png"/><Relationship Id="rId26" Type="http://schemas.openxmlformats.org/officeDocument/2006/relationships/image" Target="../media/image1712.png"/><Relationship Id="rId25" Type="http://schemas.openxmlformats.org/officeDocument/2006/relationships/image" Target="../media/image1746.png"/><Relationship Id="rId28" Type="http://schemas.openxmlformats.org/officeDocument/2006/relationships/image" Target="../media/image1698.png"/><Relationship Id="rId27" Type="http://schemas.openxmlformats.org/officeDocument/2006/relationships/image" Target="../media/image1742.png"/><Relationship Id="rId29" Type="http://schemas.openxmlformats.org/officeDocument/2006/relationships/image" Target="../media/image1722.png"/><Relationship Id="rId11" Type="http://schemas.openxmlformats.org/officeDocument/2006/relationships/image" Target="../media/image1703.png"/><Relationship Id="rId10" Type="http://schemas.openxmlformats.org/officeDocument/2006/relationships/image" Target="../media/image1700.png"/><Relationship Id="rId13" Type="http://schemas.openxmlformats.org/officeDocument/2006/relationships/image" Target="../media/image1748.png"/><Relationship Id="rId12" Type="http://schemas.openxmlformats.org/officeDocument/2006/relationships/image" Target="../media/image1697.png"/><Relationship Id="rId15" Type="http://schemas.openxmlformats.org/officeDocument/2006/relationships/image" Target="../media/image1710.png"/><Relationship Id="rId14" Type="http://schemas.openxmlformats.org/officeDocument/2006/relationships/image" Target="../media/image1702.png"/><Relationship Id="rId17" Type="http://schemas.openxmlformats.org/officeDocument/2006/relationships/image" Target="../media/image1705.png"/><Relationship Id="rId16" Type="http://schemas.openxmlformats.org/officeDocument/2006/relationships/image" Target="../media/image1699.png"/><Relationship Id="rId19" Type="http://schemas.openxmlformats.org/officeDocument/2006/relationships/image" Target="../media/image1711.png"/><Relationship Id="rId18" Type="http://schemas.openxmlformats.org/officeDocument/2006/relationships/image" Target="../media/image1721.png"/><Relationship Id="rId84" Type="http://schemas.openxmlformats.org/officeDocument/2006/relationships/image" Target="../media/image1818.png"/><Relationship Id="rId83" Type="http://schemas.openxmlformats.org/officeDocument/2006/relationships/image" Target="../media/image1778.png"/><Relationship Id="rId86" Type="http://schemas.openxmlformats.org/officeDocument/2006/relationships/image" Target="../media/image1781.png"/><Relationship Id="rId85" Type="http://schemas.openxmlformats.org/officeDocument/2006/relationships/image" Target="../media/image1779.png"/><Relationship Id="rId88" Type="http://schemas.openxmlformats.org/officeDocument/2006/relationships/image" Target="../media/image1776.png"/><Relationship Id="rId87" Type="http://schemas.openxmlformats.org/officeDocument/2006/relationships/image" Target="../media/image1780.png"/><Relationship Id="rId89" Type="http://schemas.openxmlformats.org/officeDocument/2006/relationships/image" Target="../media/image1773.png"/><Relationship Id="rId80" Type="http://schemas.openxmlformats.org/officeDocument/2006/relationships/image" Target="../media/image1794.png"/><Relationship Id="rId82" Type="http://schemas.openxmlformats.org/officeDocument/2006/relationships/image" Target="../media/image1768.png"/><Relationship Id="rId81" Type="http://schemas.openxmlformats.org/officeDocument/2006/relationships/image" Target="../media/image1829.png"/><Relationship Id="rId1" Type="http://schemas.openxmlformats.org/officeDocument/2006/relationships/image" Target="../media/image1704.png"/><Relationship Id="rId2" Type="http://schemas.openxmlformats.org/officeDocument/2006/relationships/image" Target="../media/image1687.png"/><Relationship Id="rId3" Type="http://schemas.openxmlformats.org/officeDocument/2006/relationships/image" Target="../media/image1709.png"/><Relationship Id="rId4" Type="http://schemas.openxmlformats.org/officeDocument/2006/relationships/image" Target="../media/image1696.png"/><Relationship Id="rId9" Type="http://schemas.openxmlformats.org/officeDocument/2006/relationships/image" Target="../media/image1831.png"/><Relationship Id="rId5" Type="http://schemas.openxmlformats.org/officeDocument/2006/relationships/image" Target="../media/image1688.png"/><Relationship Id="rId6" Type="http://schemas.openxmlformats.org/officeDocument/2006/relationships/image" Target="../media/image1690.png"/><Relationship Id="rId7" Type="http://schemas.openxmlformats.org/officeDocument/2006/relationships/image" Target="../media/image1708.png"/><Relationship Id="rId8" Type="http://schemas.openxmlformats.org/officeDocument/2006/relationships/image" Target="../media/image1707.png"/><Relationship Id="rId73" Type="http://schemas.openxmlformats.org/officeDocument/2006/relationships/image" Target="../media/image1754.png"/><Relationship Id="rId72" Type="http://schemas.openxmlformats.org/officeDocument/2006/relationships/image" Target="../media/image1757.png"/><Relationship Id="rId75" Type="http://schemas.openxmlformats.org/officeDocument/2006/relationships/image" Target="../media/image1769.png"/><Relationship Id="rId74" Type="http://schemas.openxmlformats.org/officeDocument/2006/relationships/image" Target="../media/image1777.png"/><Relationship Id="rId77" Type="http://schemas.openxmlformats.org/officeDocument/2006/relationships/image" Target="../media/image1759.png"/><Relationship Id="rId76" Type="http://schemas.openxmlformats.org/officeDocument/2006/relationships/image" Target="../media/image1756.png"/><Relationship Id="rId79" Type="http://schemas.openxmlformats.org/officeDocument/2006/relationships/image" Target="../media/image1788.png"/><Relationship Id="rId78" Type="http://schemas.openxmlformats.org/officeDocument/2006/relationships/image" Target="../media/image1763.png"/><Relationship Id="rId71" Type="http://schemas.openxmlformats.org/officeDocument/2006/relationships/image" Target="../media/image1750.png"/><Relationship Id="rId70" Type="http://schemas.openxmlformats.org/officeDocument/2006/relationships/image" Target="../media/image1760.png"/><Relationship Id="rId62" Type="http://schemas.openxmlformats.org/officeDocument/2006/relationships/image" Target="../media/image1745.png"/><Relationship Id="rId61" Type="http://schemas.openxmlformats.org/officeDocument/2006/relationships/image" Target="../media/image1775.png"/><Relationship Id="rId64" Type="http://schemas.openxmlformats.org/officeDocument/2006/relationships/image" Target="../media/image1747.png"/><Relationship Id="rId63" Type="http://schemas.openxmlformats.org/officeDocument/2006/relationships/image" Target="../media/image1743.png"/><Relationship Id="rId66" Type="http://schemas.openxmlformats.org/officeDocument/2006/relationships/image" Target="../media/image1751.png"/><Relationship Id="rId65" Type="http://schemas.openxmlformats.org/officeDocument/2006/relationships/image" Target="../media/image1762.png"/><Relationship Id="rId68" Type="http://schemas.openxmlformats.org/officeDocument/2006/relationships/image" Target="../media/image1755.png"/><Relationship Id="rId67" Type="http://schemas.openxmlformats.org/officeDocument/2006/relationships/image" Target="../media/image1761.png"/><Relationship Id="rId60" Type="http://schemas.openxmlformats.org/officeDocument/2006/relationships/image" Target="../media/image1738.png"/><Relationship Id="rId69" Type="http://schemas.openxmlformats.org/officeDocument/2006/relationships/image" Target="../media/image1839.png"/><Relationship Id="rId51" Type="http://schemas.openxmlformats.org/officeDocument/2006/relationships/image" Target="../media/image1725.png"/><Relationship Id="rId50" Type="http://schemas.openxmlformats.org/officeDocument/2006/relationships/image" Target="../media/image1728.png"/><Relationship Id="rId53" Type="http://schemas.openxmlformats.org/officeDocument/2006/relationships/image" Target="../media/image1730.png"/><Relationship Id="rId52" Type="http://schemas.openxmlformats.org/officeDocument/2006/relationships/image" Target="../media/image1723.png"/><Relationship Id="rId55" Type="http://schemas.openxmlformats.org/officeDocument/2006/relationships/image" Target="../media/image1729.png"/><Relationship Id="rId54" Type="http://schemas.openxmlformats.org/officeDocument/2006/relationships/image" Target="../media/image1749.png"/><Relationship Id="rId57" Type="http://schemas.openxmlformats.org/officeDocument/2006/relationships/image" Target="../media/image1923.png"/><Relationship Id="rId56" Type="http://schemas.openxmlformats.org/officeDocument/2006/relationships/image" Target="../media/image1734.png"/><Relationship Id="rId59" Type="http://schemas.openxmlformats.org/officeDocument/2006/relationships/image" Target="../media/image1732.png"/><Relationship Id="rId58" Type="http://schemas.openxmlformats.org/officeDocument/2006/relationships/image" Target="../media/image1758.png"/><Relationship Id="rId107" Type="http://schemas.openxmlformats.org/officeDocument/2006/relationships/image" Target="../media/image1856.png"/><Relationship Id="rId106" Type="http://schemas.openxmlformats.org/officeDocument/2006/relationships/image" Target="../media/image1795.png"/><Relationship Id="rId105" Type="http://schemas.openxmlformats.org/officeDocument/2006/relationships/image" Target="../media/image1878.png"/><Relationship Id="rId104" Type="http://schemas.openxmlformats.org/officeDocument/2006/relationships/image" Target="../media/image1797.png"/><Relationship Id="rId109" Type="http://schemas.openxmlformats.org/officeDocument/2006/relationships/image" Target="../media/image1827.png"/><Relationship Id="rId108" Type="http://schemas.openxmlformats.org/officeDocument/2006/relationships/image" Target="../media/image1825.png"/><Relationship Id="rId103" Type="http://schemas.openxmlformats.org/officeDocument/2006/relationships/image" Target="../media/image1809.png"/><Relationship Id="rId102" Type="http://schemas.openxmlformats.org/officeDocument/2006/relationships/image" Target="../media/image1783.png"/><Relationship Id="rId101" Type="http://schemas.openxmlformats.org/officeDocument/2006/relationships/image" Target="../media/image1782.png"/><Relationship Id="rId100" Type="http://schemas.openxmlformats.org/officeDocument/2006/relationships/image" Target="../media/image1796.png"/><Relationship Id="rId95" Type="http://schemas.openxmlformats.org/officeDocument/2006/relationships/image" Target="../media/image1790.png"/><Relationship Id="rId94" Type="http://schemas.openxmlformats.org/officeDocument/2006/relationships/image" Target="../media/image1771.png"/><Relationship Id="rId97" Type="http://schemas.openxmlformats.org/officeDocument/2006/relationships/image" Target="../media/image1787.png"/><Relationship Id="rId96" Type="http://schemas.openxmlformats.org/officeDocument/2006/relationships/image" Target="../media/image1820.png"/><Relationship Id="rId99" Type="http://schemas.openxmlformats.org/officeDocument/2006/relationships/image" Target="../media/image1785.png"/><Relationship Id="rId98" Type="http://schemas.openxmlformats.org/officeDocument/2006/relationships/image" Target="../media/image1786.png"/><Relationship Id="rId91" Type="http://schemas.openxmlformats.org/officeDocument/2006/relationships/image" Target="../media/image1793.png"/><Relationship Id="rId90" Type="http://schemas.openxmlformats.org/officeDocument/2006/relationships/image" Target="../media/image1774.png"/><Relationship Id="rId93" Type="http://schemas.openxmlformats.org/officeDocument/2006/relationships/image" Target="../media/image1903.png"/><Relationship Id="rId92" Type="http://schemas.openxmlformats.org/officeDocument/2006/relationships/image" Target="../media/image1801.png"/><Relationship Id="rId110" Type="http://schemas.openxmlformats.org/officeDocument/2006/relationships/image" Target="../media/image1803.png"/><Relationship Id="rId112" Type="http://schemas.openxmlformats.org/officeDocument/2006/relationships/image" Target="../media/image1798.png"/><Relationship Id="rId111" Type="http://schemas.openxmlformats.org/officeDocument/2006/relationships/image" Target="../media/image1800.png"/></Relationships>
</file>

<file path=xl/drawings/_rels/drawing4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843.jpg"/><Relationship Id="rId42" Type="http://schemas.openxmlformats.org/officeDocument/2006/relationships/image" Target="../media/image1853.jpg"/><Relationship Id="rId41" Type="http://schemas.openxmlformats.org/officeDocument/2006/relationships/image" Target="../media/image1962.jpg"/><Relationship Id="rId44" Type="http://schemas.openxmlformats.org/officeDocument/2006/relationships/image" Target="../media/image1844.jpg"/><Relationship Id="rId43" Type="http://schemas.openxmlformats.org/officeDocument/2006/relationships/image" Target="../media/image1837.png"/><Relationship Id="rId46" Type="http://schemas.openxmlformats.org/officeDocument/2006/relationships/image" Target="../media/image1857.png"/><Relationship Id="rId45" Type="http://schemas.openxmlformats.org/officeDocument/2006/relationships/image" Target="../media/image1842.jpg"/><Relationship Id="rId48" Type="http://schemas.openxmlformats.org/officeDocument/2006/relationships/image" Target="../media/image1835.jpg"/><Relationship Id="rId47" Type="http://schemas.openxmlformats.org/officeDocument/2006/relationships/image" Target="../media/image1834.jpg"/><Relationship Id="rId49" Type="http://schemas.openxmlformats.org/officeDocument/2006/relationships/image" Target="../media/image1845.png"/><Relationship Id="rId31" Type="http://schemas.openxmlformats.org/officeDocument/2006/relationships/image" Target="../media/image1815.jpg"/><Relationship Id="rId30" Type="http://schemas.openxmlformats.org/officeDocument/2006/relationships/image" Target="../media/image1847.jpg"/><Relationship Id="rId33" Type="http://schemas.openxmlformats.org/officeDocument/2006/relationships/image" Target="../media/image1838.png"/><Relationship Id="rId32" Type="http://schemas.openxmlformats.org/officeDocument/2006/relationships/image" Target="../media/image1830.jpg"/><Relationship Id="rId35" Type="http://schemas.openxmlformats.org/officeDocument/2006/relationships/image" Target="../media/image1833.jpg"/><Relationship Id="rId34" Type="http://schemas.openxmlformats.org/officeDocument/2006/relationships/image" Target="../media/image1828.png"/><Relationship Id="rId37" Type="http://schemas.openxmlformats.org/officeDocument/2006/relationships/image" Target="../media/image1859.png"/><Relationship Id="rId36" Type="http://schemas.openxmlformats.org/officeDocument/2006/relationships/image" Target="../media/image1869.jpg"/><Relationship Id="rId39" Type="http://schemas.openxmlformats.org/officeDocument/2006/relationships/image" Target="../media/image1892.png"/><Relationship Id="rId38" Type="http://schemas.openxmlformats.org/officeDocument/2006/relationships/image" Target="../media/image1840.png"/><Relationship Id="rId20" Type="http://schemas.openxmlformats.org/officeDocument/2006/relationships/image" Target="../media/image1846.jpg"/><Relationship Id="rId22" Type="http://schemas.openxmlformats.org/officeDocument/2006/relationships/image" Target="../media/image1817.jpg"/><Relationship Id="rId21" Type="http://schemas.openxmlformats.org/officeDocument/2006/relationships/image" Target="../media/image1824.jpg"/><Relationship Id="rId24" Type="http://schemas.openxmlformats.org/officeDocument/2006/relationships/image" Target="../media/image1821.jpg"/><Relationship Id="rId23" Type="http://schemas.openxmlformats.org/officeDocument/2006/relationships/image" Target="../media/image1832.jpg"/><Relationship Id="rId26" Type="http://schemas.openxmlformats.org/officeDocument/2006/relationships/image" Target="../media/image1826.jpg"/><Relationship Id="rId25" Type="http://schemas.openxmlformats.org/officeDocument/2006/relationships/image" Target="../media/image1819.jpg"/><Relationship Id="rId28" Type="http://schemas.openxmlformats.org/officeDocument/2006/relationships/image" Target="../media/image1905.png"/><Relationship Id="rId27" Type="http://schemas.openxmlformats.org/officeDocument/2006/relationships/image" Target="../media/image1836.png"/><Relationship Id="rId29" Type="http://schemas.openxmlformats.org/officeDocument/2006/relationships/image" Target="../media/image1841.png"/><Relationship Id="rId11" Type="http://schemas.openxmlformats.org/officeDocument/2006/relationships/image" Target="../media/image1811.png"/><Relationship Id="rId10" Type="http://schemas.openxmlformats.org/officeDocument/2006/relationships/image" Target="../media/image1823.jpg"/><Relationship Id="rId13" Type="http://schemas.openxmlformats.org/officeDocument/2006/relationships/image" Target="../media/image1804.png"/><Relationship Id="rId12" Type="http://schemas.openxmlformats.org/officeDocument/2006/relationships/image" Target="../media/image1810.jpg"/><Relationship Id="rId15" Type="http://schemas.openxmlformats.org/officeDocument/2006/relationships/image" Target="../media/image1850.png"/><Relationship Id="rId14" Type="http://schemas.openxmlformats.org/officeDocument/2006/relationships/image" Target="../media/image1806.jpg"/><Relationship Id="rId17" Type="http://schemas.openxmlformats.org/officeDocument/2006/relationships/image" Target="../media/image1921.png"/><Relationship Id="rId16" Type="http://schemas.openxmlformats.org/officeDocument/2006/relationships/image" Target="../media/image1813.jpg"/><Relationship Id="rId19" Type="http://schemas.openxmlformats.org/officeDocument/2006/relationships/image" Target="../media/image1816.png"/><Relationship Id="rId18" Type="http://schemas.openxmlformats.org/officeDocument/2006/relationships/image" Target="../media/image1807.jpg"/><Relationship Id="rId84" Type="http://schemas.openxmlformats.org/officeDocument/2006/relationships/image" Target="../media/image1893.png"/><Relationship Id="rId83" Type="http://schemas.openxmlformats.org/officeDocument/2006/relationships/image" Target="../media/image1865.png"/><Relationship Id="rId86" Type="http://schemas.openxmlformats.org/officeDocument/2006/relationships/image" Target="../media/image1896.jpg"/><Relationship Id="rId85" Type="http://schemas.openxmlformats.org/officeDocument/2006/relationships/image" Target="../media/image1871.jpg"/><Relationship Id="rId88" Type="http://schemas.openxmlformats.org/officeDocument/2006/relationships/image" Target="../media/image1886.jpg"/><Relationship Id="rId87" Type="http://schemas.openxmlformats.org/officeDocument/2006/relationships/image" Target="../media/image1888.jpg"/><Relationship Id="rId89" Type="http://schemas.openxmlformats.org/officeDocument/2006/relationships/image" Target="../media/image1981.jpg"/><Relationship Id="rId80" Type="http://schemas.openxmlformats.org/officeDocument/2006/relationships/image" Target="../media/image1876.jpg"/><Relationship Id="rId82" Type="http://schemas.openxmlformats.org/officeDocument/2006/relationships/image" Target="../media/image1875.png"/><Relationship Id="rId81" Type="http://schemas.openxmlformats.org/officeDocument/2006/relationships/image" Target="../media/image1885.jpg"/><Relationship Id="rId1" Type="http://schemas.openxmlformats.org/officeDocument/2006/relationships/image" Target="../media/image1791.jpg"/><Relationship Id="rId2" Type="http://schemas.openxmlformats.org/officeDocument/2006/relationships/image" Target="../media/image1799.png"/><Relationship Id="rId3" Type="http://schemas.openxmlformats.org/officeDocument/2006/relationships/image" Target="../media/image1805.png"/><Relationship Id="rId4" Type="http://schemas.openxmlformats.org/officeDocument/2006/relationships/image" Target="../media/image1822.jpg"/><Relationship Id="rId9" Type="http://schemas.openxmlformats.org/officeDocument/2006/relationships/image" Target="../media/image1814.png"/><Relationship Id="rId5" Type="http://schemas.openxmlformats.org/officeDocument/2006/relationships/image" Target="../media/image1851.jpg"/><Relationship Id="rId6" Type="http://schemas.openxmlformats.org/officeDocument/2006/relationships/image" Target="../media/image1812.jpg"/><Relationship Id="rId7" Type="http://schemas.openxmlformats.org/officeDocument/2006/relationships/image" Target="../media/image1802.jpg"/><Relationship Id="rId8" Type="http://schemas.openxmlformats.org/officeDocument/2006/relationships/image" Target="../media/image1808.jpg"/><Relationship Id="rId73" Type="http://schemas.openxmlformats.org/officeDocument/2006/relationships/image" Target="../media/image1867.png"/><Relationship Id="rId72" Type="http://schemas.openxmlformats.org/officeDocument/2006/relationships/image" Target="../media/image1848.jpg"/><Relationship Id="rId75" Type="http://schemas.openxmlformats.org/officeDocument/2006/relationships/image" Target="../media/image1881.png"/><Relationship Id="rId74" Type="http://schemas.openxmlformats.org/officeDocument/2006/relationships/image" Target="../media/image1882.jpg"/><Relationship Id="rId77" Type="http://schemas.openxmlformats.org/officeDocument/2006/relationships/image" Target="../media/image2004.jpg"/><Relationship Id="rId76" Type="http://schemas.openxmlformats.org/officeDocument/2006/relationships/image" Target="../media/image1863.jpg"/><Relationship Id="rId79" Type="http://schemas.openxmlformats.org/officeDocument/2006/relationships/image" Target="../media/image1873.jpg"/><Relationship Id="rId78" Type="http://schemas.openxmlformats.org/officeDocument/2006/relationships/image" Target="../media/image1912.jpg"/><Relationship Id="rId71" Type="http://schemas.openxmlformats.org/officeDocument/2006/relationships/image" Target="../media/image1870.jpg"/><Relationship Id="rId70" Type="http://schemas.openxmlformats.org/officeDocument/2006/relationships/image" Target="../media/image1849.png"/><Relationship Id="rId62" Type="http://schemas.openxmlformats.org/officeDocument/2006/relationships/image" Target="../media/image1877.jpg"/><Relationship Id="rId61" Type="http://schemas.openxmlformats.org/officeDocument/2006/relationships/image" Target="../media/image1883.jpg"/><Relationship Id="rId64" Type="http://schemas.openxmlformats.org/officeDocument/2006/relationships/image" Target="../media/image1957.png"/><Relationship Id="rId63" Type="http://schemas.openxmlformats.org/officeDocument/2006/relationships/image" Target="../media/image1880.jpg"/><Relationship Id="rId66" Type="http://schemas.openxmlformats.org/officeDocument/2006/relationships/image" Target="../media/image1884.png"/><Relationship Id="rId65" Type="http://schemas.openxmlformats.org/officeDocument/2006/relationships/image" Target="../media/image1861.jpg"/><Relationship Id="rId68" Type="http://schemas.openxmlformats.org/officeDocument/2006/relationships/image" Target="../media/image1868.png"/><Relationship Id="rId67" Type="http://schemas.openxmlformats.org/officeDocument/2006/relationships/image" Target="../media/image1852.png"/><Relationship Id="rId60" Type="http://schemas.openxmlformats.org/officeDocument/2006/relationships/image" Target="../media/image1860.png"/><Relationship Id="rId69" Type="http://schemas.openxmlformats.org/officeDocument/2006/relationships/image" Target="../media/image1894.jpg"/><Relationship Id="rId51" Type="http://schemas.openxmlformats.org/officeDocument/2006/relationships/image" Target="../media/image1874.jpg"/><Relationship Id="rId50" Type="http://schemas.openxmlformats.org/officeDocument/2006/relationships/image" Target="../media/image1854.jpg"/><Relationship Id="rId53" Type="http://schemas.openxmlformats.org/officeDocument/2006/relationships/image" Target="../media/image1984.png"/><Relationship Id="rId52" Type="http://schemas.openxmlformats.org/officeDocument/2006/relationships/image" Target="../media/image1862.png"/><Relationship Id="rId55" Type="http://schemas.openxmlformats.org/officeDocument/2006/relationships/image" Target="../media/image1858.png"/><Relationship Id="rId54" Type="http://schemas.openxmlformats.org/officeDocument/2006/relationships/image" Target="../media/image1872.png"/><Relationship Id="rId57" Type="http://schemas.openxmlformats.org/officeDocument/2006/relationships/image" Target="../media/image1866.jpg"/><Relationship Id="rId56" Type="http://schemas.openxmlformats.org/officeDocument/2006/relationships/image" Target="../media/image1864.png"/><Relationship Id="rId59" Type="http://schemas.openxmlformats.org/officeDocument/2006/relationships/image" Target="../media/image1879.jpg"/><Relationship Id="rId58" Type="http://schemas.openxmlformats.org/officeDocument/2006/relationships/image" Target="../media/image1855.jpg"/><Relationship Id="rId95" Type="http://schemas.openxmlformats.org/officeDocument/2006/relationships/image" Target="../media/image1897.jpg"/><Relationship Id="rId94" Type="http://schemas.openxmlformats.org/officeDocument/2006/relationships/image" Target="../media/image1889.jpg"/><Relationship Id="rId97" Type="http://schemas.openxmlformats.org/officeDocument/2006/relationships/image" Target="../media/image1902.png"/><Relationship Id="rId96" Type="http://schemas.openxmlformats.org/officeDocument/2006/relationships/image" Target="../media/image1891.jpg"/><Relationship Id="rId99" Type="http://schemas.openxmlformats.org/officeDocument/2006/relationships/image" Target="../media/image1933.jpg"/><Relationship Id="rId98" Type="http://schemas.openxmlformats.org/officeDocument/2006/relationships/image" Target="../media/image1913.jpg"/><Relationship Id="rId91" Type="http://schemas.openxmlformats.org/officeDocument/2006/relationships/image" Target="../media/image1931.png"/><Relationship Id="rId90" Type="http://schemas.openxmlformats.org/officeDocument/2006/relationships/image" Target="../media/image1890.jpg"/><Relationship Id="rId93" Type="http://schemas.openxmlformats.org/officeDocument/2006/relationships/image" Target="../media/image1887.jpg"/><Relationship Id="rId92" Type="http://schemas.openxmlformats.org/officeDocument/2006/relationships/image" Target="../media/image1895.jpg"/></Relationships>
</file>

<file path=xl/drawings/_rels/drawing46.xml.rels><?xml version="1.0" encoding="UTF-8" standalone="yes"?><Relationships xmlns="http://schemas.openxmlformats.org/package/2006/relationships"><Relationship Id="rId40" Type="http://schemas.openxmlformats.org/officeDocument/2006/relationships/image" Target="../media/image1925.jpg"/><Relationship Id="rId42" Type="http://schemas.openxmlformats.org/officeDocument/2006/relationships/image" Target="../media/image1952.jpg"/><Relationship Id="rId41" Type="http://schemas.openxmlformats.org/officeDocument/2006/relationships/image" Target="../media/image1944.jpg"/><Relationship Id="rId44" Type="http://schemas.openxmlformats.org/officeDocument/2006/relationships/image" Target="../media/image1939.png"/><Relationship Id="rId43" Type="http://schemas.openxmlformats.org/officeDocument/2006/relationships/image" Target="../media/image1937.png"/><Relationship Id="rId46" Type="http://schemas.openxmlformats.org/officeDocument/2006/relationships/image" Target="../media/image1942.jpg"/><Relationship Id="rId45" Type="http://schemas.openxmlformats.org/officeDocument/2006/relationships/image" Target="../media/image1958.jpg"/><Relationship Id="rId48" Type="http://schemas.openxmlformats.org/officeDocument/2006/relationships/image" Target="../media/image1977.jpg"/><Relationship Id="rId47" Type="http://schemas.openxmlformats.org/officeDocument/2006/relationships/image" Target="../media/image1971.jpg"/><Relationship Id="rId49" Type="http://schemas.openxmlformats.org/officeDocument/2006/relationships/image" Target="../media/image1941.jpg"/><Relationship Id="rId31" Type="http://schemas.openxmlformats.org/officeDocument/2006/relationships/image" Target="../media/image1919.jpg"/><Relationship Id="rId30" Type="http://schemas.openxmlformats.org/officeDocument/2006/relationships/image" Target="../media/image1918.jpg"/><Relationship Id="rId33" Type="http://schemas.openxmlformats.org/officeDocument/2006/relationships/image" Target="../media/image1926.png"/><Relationship Id="rId32" Type="http://schemas.openxmlformats.org/officeDocument/2006/relationships/image" Target="../media/image1936.png"/><Relationship Id="rId35" Type="http://schemas.openxmlformats.org/officeDocument/2006/relationships/image" Target="../media/image1932.jpg"/><Relationship Id="rId34" Type="http://schemas.openxmlformats.org/officeDocument/2006/relationships/image" Target="../media/image1928.png"/><Relationship Id="rId37" Type="http://schemas.openxmlformats.org/officeDocument/2006/relationships/image" Target="../media/image1929.png"/><Relationship Id="rId36" Type="http://schemas.openxmlformats.org/officeDocument/2006/relationships/image" Target="../media/image1934.jpg"/><Relationship Id="rId39" Type="http://schemas.openxmlformats.org/officeDocument/2006/relationships/image" Target="../media/image1940.jpg"/><Relationship Id="rId38" Type="http://schemas.openxmlformats.org/officeDocument/2006/relationships/image" Target="../media/image1988.jpg"/><Relationship Id="rId20" Type="http://schemas.openxmlformats.org/officeDocument/2006/relationships/image" Target="../media/image1927.jpg"/><Relationship Id="rId22" Type="http://schemas.openxmlformats.org/officeDocument/2006/relationships/image" Target="../media/image1906.jpg"/><Relationship Id="rId21" Type="http://schemas.openxmlformats.org/officeDocument/2006/relationships/image" Target="../media/image1946.jpg"/><Relationship Id="rId24" Type="http://schemas.openxmlformats.org/officeDocument/2006/relationships/image" Target="../media/image1935.jpg"/><Relationship Id="rId23" Type="http://schemas.openxmlformats.org/officeDocument/2006/relationships/image" Target="../media/image1914.jpg"/><Relationship Id="rId26" Type="http://schemas.openxmlformats.org/officeDocument/2006/relationships/image" Target="../media/image1987.png"/><Relationship Id="rId25" Type="http://schemas.openxmlformats.org/officeDocument/2006/relationships/image" Target="../media/image1930.jpg"/><Relationship Id="rId28" Type="http://schemas.openxmlformats.org/officeDocument/2006/relationships/image" Target="../media/image1917.png"/><Relationship Id="rId27" Type="http://schemas.openxmlformats.org/officeDocument/2006/relationships/image" Target="../media/image1945.jpg"/><Relationship Id="rId29" Type="http://schemas.openxmlformats.org/officeDocument/2006/relationships/image" Target="../media/image1954.png"/><Relationship Id="rId11" Type="http://schemas.openxmlformats.org/officeDocument/2006/relationships/image" Target="../media/image1922.jpg"/><Relationship Id="rId10" Type="http://schemas.openxmlformats.org/officeDocument/2006/relationships/image" Target="../media/image1911.jpg"/><Relationship Id="rId13" Type="http://schemas.openxmlformats.org/officeDocument/2006/relationships/image" Target="../media/image1999.jpg"/><Relationship Id="rId12" Type="http://schemas.openxmlformats.org/officeDocument/2006/relationships/image" Target="../media/image1924.jpg"/><Relationship Id="rId15" Type="http://schemas.openxmlformats.org/officeDocument/2006/relationships/image" Target="../media/image1899.jpg"/><Relationship Id="rId14" Type="http://schemas.openxmlformats.org/officeDocument/2006/relationships/image" Target="../media/image1908.jpg"/><Relationship Id="rId17" Type="http://schemas.openxmlformats.org/officeDocument/2006/relationships/image" Target="../media/image1920.jpg"/><Relationship Id="rId16" Type="http://schemas.openxmlformats.org/officeDocument/2006/relationships/image" Target="../media/image1910.jpg"/><Relationship Id="rId19" Type="http://schemas.openxmlformats.org/officeDocument/2006/relationships/image" Target="../media/image1948.jpg"/><Relationship Id="rId18" Type="http://schemas.openxmlformats.org/officeDocument/2006/relationships/image" Target="../media/image1938.png"/><Relationship Id="rId1" Type="http://schemas.openxmlformats.org/officeDocument/2006/relationships/image" Target="../media/image1901.jpg"/><Relationship Id="rId2" Type="http://schemas.openxmlformats.org/officeDocument/2006/relationships/image" Target="../media/image1980.jpg"/><Relationship Id="rId3" Type="http://schemas.openxmlformats.org/officeDocument/2006/relationships/image" Target="../media/image1898.jpg"/><Relationship Id="rId4" Type="http://schemas.openxmlformats.org/officeDocument/2006/relationships/image" Target="../media/image1900.jpg"/><Relationship Id="rId9" Type="http://schemas.openxmlformats.org/officeDocument/2006/relationships/image" Target="../media/image1915.png"/><Relationship Id="rId5" Type="http://schemas.openxmlformats.org/officeDocument/2006/relationships/image" Target="../media/image1907.jpg"/><Relationship Id="rId6" Type="http://schemas.openxmlformats.org/officeDocument/2006/relationships/image" Target="../media/image1916.jpg"/><Relationship Id="rId7" Type="http://schemas.openxmlformats.org/officeDocument/2006/relationships/image" Target="../media/image1904.png"/><Relationship Id="rId8" Type="http://schemas.openxmlformats.org/officeDocument/2006/relationships/image" Target="../media/image1909.jpg"/><Relationship Id="rId60" Type="http://schemas.openxmlformats.org/officeDocument/2006/relationships/image" Target="../media/image1974.png"/><Relationship Id="rId51" Type="http://schemas.openxmlformats.org/officeDocument/2006/relationships/image" Target="../media/image1967.png"/><Relationship Id="rId50" Type="http://schemas.openxmlformats.org/officeDocument/2006/relationships/image" Target="../media/image1978.png"/><Relationship Id="rId53" Type="http://schemas.openxmlformats.org/officeDocument/2006/relationships/image" Target="../media/image1956.jpg"/><Relationship Id="rId52" Type="http://schemas.openxmlformats.org/officeDocument/2006/relationships/image" Target="../media/image1955.png"/><Relationship Id="rId55" Type="http://schemas.openxmlformats.org/officeDocument/2006/relationships/image" Target="../media/image1969.png"/><Relationship Id="rId54" Type="http://schemas.openxmlformats.org/officeDocument/2006/relationships/image" Target="../media/image1949.jpg"/><Relationship Id="rId57" Type="http://schemas.openxmlformats.org/officeDocument/2006/relationships/image" Target="../media/image1947.jpg"/><Relationship Id="rId56" Type="http://schemas.openxmlformats.org/officeDocument/2006/relationships/image" Target="../media/image1951.jpg"/><Relationship Id="rId59" Type="http://schemas.openxmlformats.org/officeDocument/2006/relationships/image" Target="../media/image1973.png"/><Relationship Id="rId58" Type="http://schemas.openxmlformats.org/officeDocument/2006/relationships/image" Target="../media/image1943.jpg"/></Relationships>
</file>

<file path=xl/drawings/_rels/drawing47.xml.rels><?xml version="1.0" encoding="UTF-8" standalone="yes"?><Relationships xmlns="http://schemas.openxmlformats.org/package/2006/relationships"><Relationship Id="rId20" Type="http://schemas.openxmlformats.org/officeDocument/2006/relationships/image" Target="../media/image1297.png"/><Relationship Id="rId21" Type="http://schemas.openxmlformats.org/officeDocument/2006/relationships/image" Target="../media/image1314.png"/><Relationship Id="rId11" Type="http://schemas.openxmlformats.org/officeDocument/2006/relationships/image" Target="../media/image1288.png"/><Relationship Id="rId10" Type="http://schemas.openxmlformats.org/officeDocument/2006/relationships/image" Target="../media/image1342.png"/><Relationship Id="rId13" Type="http://schemas.openxmlformats.org/officeDocument/2006/relationships/image" Target="../media/image1175.png"/><Relationship Id="rId12" Type="http://schemas.openxmlformats.org/officeDocument/2006/relationships/image" Target="../media/image1383.png"/><Relationship Id="rId15" Type="http://schemas.openxmlformats.org/officeDocument/2006/relationships/image" Target="../media/image1187.png"/><Relationship Id="rId14" Type="http://schemas.openxmlformats.org/officeDocument/2006/relationships/image" Target="../media/image1292.png"/><Relationship Id="rId17" Type="http://schemas.openxmlformats.org/officeDocument/2006/relationships/image" Target="../media/image1260.png"/><Relationship Id="rId16" Type="http://schemas.openxmlformats.org/officeDocument/2006/relationships/image" Target="../media/image1513.png"/><Relationship Id="rId19" Type="http://schemas.openxmlformats.org/officeDocument/2006/relationships/image" Target="../media/image1432.png"/><Relationship Id="rId18" Type="http://schemas.openxmlformats.org/officeDocument/2006/relationships/image" Target="../media/image1372.png"/><Relationship Id="rId1" Type="http://schemas.openxmlformats.org/officeDocument/2006/relationships/image" Target="../media/image2000.png"/><Relationship Id="rId2" Type="http://schemas.openxmlformats.org/officeDocument/2006/relationships/image" Target="../media/image1338.png"/><Relationship Id="rId3" Type="http://schemas.openxmlformats.org/officeDocument/2006/relationships/image" Target="../media/image1972.png"/><Relationship Id="rId4" Type="http://schemas.openxmlformats.org/officeDocument/2006/relationships/image" Target="../media/image1953.png"/><Relationship Id="rId9" Type="http://schemas.openxmlformats.org/officeDocument/2006/relationships/image" Target="../media/image1167.png"/><Relationship Id="rId5" Type="http://schemas.openxmlformats.org/officeDocument/2006/relationships/image" Target="../media/image1963.png"/><Relationship Id="rId6" Type="http://schemas.openxmlformats.org/officeDocument/2006/relationships/image" Target="../media/image1965.png"/><Relationship Id="rId7" Type="http://schemas.openxmlformats.org/officeDocument/2006/relationships/image" Target="../media/image1961.png"/><Relationship Id="rId8" Type="http://schemas.openxmlformats.org/officeDocument/2006/relationships/image" Target="../media/image1303.png"/></Relationships>
</file>

<file path=xl/drawings/_rels/drawing48.xml.rels><?xml version="1.0" encoding="UTF-8" standalone="yes"?><Relationships xmlns="http://schemas.openxmlformats.org/package/2006/relationships"><Relationship Id="rId40" Type="http://schemas.openxmlformats.org/officeDocument/2006/relationships/image" Target="../media/image1224.png"/><Relationship Id="rId42" Type="http://schemas.openxmlformats.org/officeDocument/2006/relationships/image" Target="../media/image2022.png"/><Relationship Id="rId41" Type="http://schemas.openxmlformats.org/officeDocument/2006/relationships/image" Target="../media/image2012.png"/><Relationship Id="rId44" Type="http://schemas.openxmlformats.org/officeDocument/2006/relationships/image" Target="../media/image2054.png"/><Relationship Id="rId43" Type="http://schemas.openxmlformats.org/officeDocument/2006/relationships/image" Target="../media/image2005.png"/><Relationship Id="rId46" Type="http://schemas.openxmlformats.org/officeDocument/2006/relationships/image" Target="../media/image1961.png"/><Relationship Id="rId45" Type="http://schemas.openxmlformats.org/officeDocument/2006/relationships/image" Target="../media/image2050.png"/><Relationship Id="rId48" Type="http://schemas.openxmlformats.org/officeDocument/2006/relationships/image" Target="../media/image1315.png"/><Relationship Id="rId47" Type="http://schemas.openxmlformats.org/officeDocument/2006/relationships/image" Target="../media/image1296.png"/><Relationship Id="rId49" Type="http://schemas.openxmlformats.org/officeDocument/2006/relationships/image" Target="../media/image2024.png"/><Relationship Id="rId31" Type="http://schemas.openxmlformats.org/officeDocument/2006/relationships/image" Target="../media/image1915.png"/><Relationship Id="rId30" Type="http://schemas.openxmlformats.org/officeDocument/2006/relationships/image" Target="../media/image1264.png"/><Relationship Id="rId33" Type="http://schemas.openxmlformats.org/officeDocument/2006/relationships/image" Target="../media/image2002.png"/><Relationship Id="rId32" Type="http://schemas.openxmlformats.org/officeDocument/2006/relationships/image" Target="../media/image1232.png"/><Relationship Id="rId35" Type="http://schemas.openxmlformats.org/officeDocument/2006/relationships/image" Target="../media/image1242.png"/><Relationship Id="rId34" Type="http://schemas.openxmlformats.org/officeDocument/2006/relationships/image" Target="../media/image1288.png"/><Relationship Id="rId37" Type="http://schemas.openxmlformats.org/officeDocument/2006/relationships/image" Target="../media/image2014.png"/><Relationship Id="rId36" Type="http://schemas.openxmlformats.org/officeDocument/2006/relationships/image" Target="../media/image1260.png"/><Relationship Id="rId39" Type="http://schemas.openxmlformats.org/officeDocument/2006/relationships/image" Target="../media/image1167.png"/><Relationship Id="rId38" Type="http://schemas.openxmlformats.org/officeDocument/2006/relationships/image" Target="../media/image2015.png"/><Relationship Id="rId20" Type="http://schemas.openxmlformats.org/officeDocument/2006/relationships/image" Target="../media/image2006.png"/><Relationship Id="rId22" Type="http://schemas.openxmlformats.org/officeDocument/2006/relationships/image" Target="../media/image2001.png"/><Relationship Id="rId21" Type="http://schemas.openxmlformats.org/officeDocument/2006/relationships/image" Target="../media/image2009.png"/><Relationship Id="rId24" Type="http://schemas.openxmlformats.org/officeDocument/2006/relationships/image" Target="../media/image1998.png"/><Relationship Id="rId23" Type="http://schemas.openxmlformats.org/officeDocument/2006/relationships/image" Target="../media/image2017.png"/><Relationship Id="rId26" Type="http://schemas.openxmlformats.org/officeDocument/2006/relationships/image" Target="../media/image1953.png"/><Relationship Id="rId25" Type="http://schemas.openxmlformats.org/officeDocument/2006/relationships/image" Target="../media/image1994.png"/><Relationship Id="rId28" Type="http://schemas.openxmlformats.org/officeDocument/2006/relationships/image" Target="../media/image1193.png"/><Relationship Id="rId27" Type="http://schemas.openxmlformats.org/officeDocument/2006/relationships/image" Target="../media/image1249.png"/><Relationship Id="rId29" Type="http://schemas.openxmlformats.org/officeDocument/2006/relationships/image" Target="../media/image1205.png"/><Relationship Id="rId11" Type="http://schemas.openxmlformats.org/officeDocument/2006/relationships/image" Target="../media/image2016.png"/><Relationship Id="rId10" Type="http://schemas.openxmlformats.org/officeDocument/2006/relationships/image" Target="../media/image1356.png"/><Relationship Id="rId13" Type="http://schemas.openxmlformats.org/officeDocument/2006/relationships/image" Target="../media/image1350.png"/><Relationship Id="rId12" Type="http://schemas.openxmlformats.org/officeDocument/2006/relationships/image" Target="../media/image1184.png"/><Relationship Id="rId15" Type="http://schemas.openxmlformats.org/officeDocument/2006/relationships/image" Target="../media/image1513.png"/><Relationship Id="rId14" Type="http://schemas.openxmlformats.org/officeDocument/2006/relationships/image" Target="../media/image1342.png"/><Relationship Id="rId17" Type="http://schemas.openxmlformats.org/officeDocument/2006/relationships/image" Target="../media/image1917.png"/><Relationship Id="rId16" Type="http://schemas.openxmlformats.org/officeDocument/2006/relationships/image" Target="../media/image1382.png"/><Relationship Id="rId19" Type="http://schemas.openxmlformats.org/officeDocument/2006/relationships/image" Target="../media/image2013.png"/><Relationship Id="rId18" Type="http://schemas.openxmlformats.org/officeDocument/2006/relationships/image" Target="../media/image2018.png"/><Relationship Id="rId84" Type="http://schemas.openxmlformats.org/officeDocument/2006/relationships/image" Target="../media/image2073.png"/><Relationship Id="rId83" Type="http://schemas.openxmlformats.org/officeDocument/2006/relationships/image" Target="../media/image1938.png"/><Relationship Id="rId86" Type="http://schemas.openxmlformats.org/officeDocument/2006/relationships/image" Target="../media/image1367.png"/><Relationship Id="rId85" Type="http://schemas.openxmlformats.org/officeDocument/2006/relationships/image" Target="../media/image2066.png"/><Relationship Id="rId88" Type="http://schemas.openxmlformats.org/officeDocument/2006/relationships/image" Target="../media/image2064.png"/><Relationship Id="rId150" Type="http://schemas.openxmlformats.org/officeDocument/2006/relationships/image" Target="../media/image2126.png"/><Relationship Id="rId87" Type="http://schemas.openxmlformats.org/officeDocument/2006/relationships/image" Target="../media/image2067.png"/><Relationship Id="rId89" Type="http://schemas.openxmlformats.org/officeDocument/2006/relationships/image" Target="../media/image2090.png"/><Relationship Id="rId80" Type="http://schemas.openxmlformats.org/officeDocument/2006/relationships/image" Target="../media/image1182.png"/><Relationship Id="rId82" Type="http://schemas.openxmlformats.org/officeDocument/2006/relationships/image" Target="../media/image2059.png"/><Relationship Id="rId81" Type="http://schemas.openxmlformats.org/officeDocument/2006/relationships/image" Target="../media/image1334.png"/><Relationship Id="rId1" Type="http://schemas.openxmlformats.org/officeDocument/2006/relationships/image" Target="../media/image1963.png"/><Relationship Id="rId2" Type="http://schemas.openxmlformats.org/officeDocument/2006/relationships/image" Target="../media/image1976.png"/><Relationship Id="rId3" Type="http://schemas.openxmlformats.org/officeDocument/2006/relationships/image" Target="../media/image1993.png"/><Relationship Id="rId149" Type="http://schemas.openxmlformats.org/officeDocument/2006/relationships/image" Target="../media/image2129.png"/><Relationship Id="rId4" Type="http://schemas.openxmlformats.org/officeDocument/2006/relationships/image" Target="../media/image1986.png"/><Relationship Id="rId148" Type="http://schemas.openxmlformats.org/officeDocument/2006/relationships/image" Target="../media/image2130.png"/><Relationship Id="rId9" Type="http://schemas.openxmlformats.org/officeDocument/2006/relationships/image" Target="../media/image1985.png"/><Relationship Id="rId143" Type="http://schemas.openxmlformats.org/officeDocument/2006/relationships/image" Target="../media/image2135.png"/><Relationship Id="rId142" Type="http://schemas.openxmlformats.org/officeDocument/2006/relationships/image" Target="../media/image1237.png"/><Relationship Id="rId141" Type="http://schemas.openxmlformats.org/officeDocument/2006/relationships/image" Target="../media/image1279.png"/><Relationship Id="rId140" Type="http://schemas.openxmlformats.org/officeDocument/2006/relationships/image" Target="../media/image1306.png"/><Relationship Id="rId5" Type="http://schemas.openxmlformats.org/officeDocument/2006/relationships/image" Target="../media/image1982.png"/><Relationship Id="rId147" Type="http://schemas.openxmlformats.org/officeDocument/2006/relationships/image" Target="../media/image1339.png"/><Relationship Id="rId6" Type="http://schemas.openxmlformats.org/officeDocument/2006/relationships/image" Target="../media/image1375.png"/><Relationship Id="rId146" Type="http://schemas.openxmlformats.org/officeDocument/2006/relationships/image" Target="../media/image1378.png"/><Relationship Id="rId7" Type="http://schemas.openxmlformats.org/officeDocument/2006/relationships/image" Target="../media/image1335.png"/><Relationship Id="rId145" Type="http://schemas.openxmlformats.org/officeDocument/2006/relationships/image" Target="../media/image1341.png"/><Relationship Id="rId8" Type="http://schemas.openxmlformats.org/officeDocument/2006/relationships/image" Target="../media/image1979.png"/><Relationship Id="rId144" Type="http://schemas.openxmlformats.org/officeDocument/2006/relationships/image" Target="../media/image2134.png"/><Relationship Id="rId73" Type="http://schemas.openxmlformats.org/officeDocument/2006/relationships/image" Target="../media/image2057.png"/><Relationship Id="rId72" Type="http://schemas.openxmlformats.org/officeDocument/2006/relationships/image" Target="../media/image1340.png"/><Relationship Id="rId75" Type="http://schemas.openxmlformats.org/officeDocument/2006/relationships/image" Target="../media/image2055.png"/><Relationship Id="rId74" Type="http://schemas.openxmlformats.org/officeDocument/2006/relationships/image" Target="../media/image1347.png"/><Relationship Id="rId77" Type="http://schemas.openxmlformats.org/officeDocument/2006/relationships/image" Target="../media/image2048.png"/><Relationship Id="rId76" Type="http://schemas.openxmlformats.org/officeDocument/2006/relationships/image" Target="../media/image2044.png"/><Relationship Id="rId79" Type="http://schemas.openxmlformats.org/officeDocument/2006/relationships/image" Target="../media/image1297.png"/><Relationship Id="rId78" Type="http://schemas.openxmlformats.org/officeDocument/2006/relationships/image" Target="../media/image2041.png"/><Relationship Id="rId71" Type="http://schemas.openxmlformats.org/officeDocument/2006/relationships/image" Target="../media/image1345.png"/><Relationship Id="rId70" Type="http://schemas.openxmlformats.org/officeDocument/2006/relationships/image" Target="../media/image1216.png"/><Relationship Id="rId139" Type="http://schemas.openxmlformats.org/officeDocument/2006/relationships/image" Target="../media/image1254.png"/><Relationship Id="rId138" Type="http://schemas.openxmlformats.org/officeDocument/2006/relationships/image" Target="../media/image1277.png"/><Relationship Id="rId137" Type="http://schemas.openxmlformats.org/officeDocument/2006/relationships/image" Target="../media/image2111.png"/><Relationship Id="rId132" Type="http://schemas.openxmlformats.org/officeDocument/2006/relationships/image" Target="../media/image2131.png"/><Relationship Id="rId131" Type="http://schemas.openxmlformats.org/officeDocument/2006/relationships/image" Target="../media/image1175.png"/><Relationship Id="rId130" Type="http://schemas.openxmlformats.org/officeDocument/2006/relationships/image" Target="../media/image2145.png"/><Relationship Id="rId136" Type="http://schemas.openxmlformats.org/officeDocument/2006/relationships/image" Target="../media/image1211.png"/><Relationship Id="rId135" Type="http://schemas.openxmlformats.org/officeDocument/2006/relationships/image" Target="../media/image1212.png"/><Relationship Id="rId134" Type="http://schemas.openxmlformats.org/officeDocument/2006/relationships/image" Target="../media/image2110.png"/><Relationship Id="rId133" Type="http://schemas.openxmlformats.org/officeDocument/2006/relationships/image" Target="../media/image2117.png"/><Relationship Id="rId62" Type="http://schemas.openxmlformats.org/officeDocument/2006/relationships/image" Target="../media/image1273.png"/><Relationship Id="rId61" Type="http://schemas.openxmlformats.org/officeDocument/2006/relationships/image" Target="../media/image1330.png"/><Relationship Id="rId64" Type="http://schemas.openxmlformats.org/officeDocument/2006/relationships/image" Target="../media/image2046.png"/><Relationship Id="rId63" Type="http://schemas.openxmlformats.org/officeDocument/2006/relationships/image" Target="../media/image2037.png"/><Relationship Id="rId66" Type="http://schemas.openxmlformats.org/officeDocument/2006/relationships/image" Target="../media/image1338.png"/><Relationship Id="rId65" Type="http://schemas.openxmlformats.org/officeDocument/2006/relationships/image" Target="../media/image2040.png"/><Relationship Id="rId68" Type="http://schemas.openxmlformats.org/officeDocument/2006/relationships/image" Target="../media/image1413.png"/><Relationship Id="rId67" Type="http://schemas.openxmlformats.org/officeDocument/2006/relationships/image" Target="../media/image1337.png"/><Relationship Id="rId60" Type="http://schemas.openxmlformats.org/officeDocument/2006/relationships/image" Target="../media/image1272.png"/><Relationship Id="rId69" Type="http://schemas.openxmlformats.org/officeDocument/2006/relationships/image" Target="../media/image1200.png"/><Relationship Id="rId51" Type="http://schemas.openxmlformats.org/officeDocument/2006/relationships/image" Target="../media/image2021.png"/><Relationship Id="rId50" Type="http://schemas.openxmlformats.org/officeDocument/2006/relationships/image" Target="../media/image2032.png"/><Relationship Id="rId53" Type="http://schemas.openxmlformats.org/officeDocument/2006/relationships/image" Target="../media/image2094.png"/><Relationship Id="rId52" Type="http://schemas.openxmlformats.org/officeDocument/2006/relationships/image" Target="../media/image1314.png"/><Relationship Id="rId55" Type="http://schemas.openxmlformats.org/officeDocument/2006/relationships/image" Target="../media/image2027.png"/><Relationship Id="rId54" Type="http://schemas.openxmlformats.org/officeDocument/2006/relationships/image" Target="../media/image2029.png"/><Relationship Id="rId57" Type="http://schemas.openxmlformats.org/officeDocument/2006/relationships/image" Target="../media/image2034.png"/><Relationship Id="rId56" Type="http://schemas.openxmlformats.org/officeDocument/2006/relationships/image" Target="../media/image2035.png"/><Relationship Id="rId59" Type="http://schemas.openxmlformats.org/officeDocument/2006/relationships/image" Target="../media/image1209.png"/><Relationship Id="rId154" Type="http://schemas.openxmlformats.org/officeDocument/2006/relationships/image" Target="../media/image2136.png"/><Relationship Id="rId58" Type="http://schemas.openxmlformats.org/officeDocument/2006/relationships/image" Target="../media/image1303.png"/><Relationship Id="rId153" Type="http://schemas.openxmlformats.org/officeDocument/2006/relationships/image" Target="../media/image1351.png"/><Relationship Id="rId152" Type="http://schemas.openxmlformats.org/officeDocument/2006/relationships/image" Target="../media/image1408.png"/><Relationship Id="rId151" Type="http://schemas.openxmlformats.org/officeDocument/2006/relationships/image" Target="../media/image1432.png"/><Relationship Id="rId157" Type="http://schemas.openxmlformats.org/officeDocument/2006/relationships/image" Target="../media/image2144.png"/><Relationship Id="rId156" Type="http://schemas.openxmlformats.org/officeDocument/2006/relationships/image" Target="../media/image2133.png"/><Relationship Id="rId155" Type="http://schemas.openxmlformats.org/officeDocument/2006/relationships/image" Target="../media/image2138.png"/><Relationship Id="rId107" Type="http://schemas.openxmlformats.org/officeDocument/2006/relationships/image" Target="../media/image2143.png"/><Relationship Id="rId106" Type="http://schemas.openxmlformats.org/officeDocument/2006/relationships/image" Target="../media/image1187.png"/><Relationship Id="rId105" Type="http://schemas.openxmlformats.org/officeDocument/2006/relationships/image" Target="../media/image2078.png"/><Relationship Id="rId104" Type="http://schemas.openxmlformats.org/officeDocument/2006/relationships/image" Target="../media/image2080.png"/><Relationship Id="rId109" Type="http://schemas.openxmlformats.org/officeDocument/2006/relationships/image" Target="../media/image1203.png"/><Relationship Id="rId108" Type="http://schemas.openxmlformats.org/officeDocument/2006/relationships/image" Target="../media/image2087.png"/><Relationship Id="rId103" Type="http://schemas.openxmlformats.org/officeDocument/2006/relationships/image" Target="../media/image2077.png"/><Relationship Id="rId102" Type="http://schemas.openxmlformats.org/officeDocument/2006/relationships/image" Target="../media/image1281.png"/><Relationship Id="rId101" Type="http://schemas.openxmlformats.org/officeDocument/2006/relationships/image" Target="../media/image1291.png"/><Relationship Id="rId100" Type="http://schemas.openxmlformats.org/officeDocument/2006/relationships/image" Target="../media/image2082.png"/><Relationship Id="rId129" Type="http://schemas.openxmlformats.org/officeDocument/2006/relationships/image" Target="../media/image2127.png"/><Relationship Id="rId128" Type="http://schemas.openxmlformats.org/officeDocument/2006/relationships/image" Target="../media/image2114.png"/><Relationship Id="rId127" Type="http://schemas.openxmlformats.org/officeDocument/2006/relationships/image" Target="../media/image2106.png"/><Relationship Id="rId126" Type="http://schemas.openxmlformats.org/officeDocument/2006/relationships/image" Target="../media/image1283.png"/><Relationship Id="rId121" Type="http://schemas.openxmlformats.org/officeDocument/2006/relationships/image" Target="../media/image2093.png"/><Relationship Id="rId120" Type="http://schemas.openxmlformats.org/officeDocument/2006/relationships/image" Target="../media/image2099.png"/><Relationship Id="rId125" Type="http://schemas.openxmlformats.org/officeDocument/2006/relationships/image" Target="../media/image1928.png"/><Relationship Id="rId124" Type="http://schemas.openxmlformats.org/officeDocument/2006/relationships/image" Target="../media/image1308.png"/><Relationship Id="rId123" Type="http://schemas.openxmlformats.org/officeDocument/2006/relationships/image" Target="../media/image1289.png"/><Relationship Id="rId122" Type="http://schemas.openxmlformats.org/officeDocument/2006/relationships/image" Target="../media/image1292.png"/><Relationship Id="rId95" Type="http://schemas.openxmlformats.org/officeDocument/2006/relationships/image" Target="../media/image1359.png"/><Relationship Id="rId94" Type="http://schemas.openxmlformats.org/officeDocument/2006/relationships/image" Target="../media/image2072.png"/><Relationship Id="rId97" Type="http://schemas.openxmlformats.org/officeDocument/2006/relationships/image" Target="../media/image2076.png"/><Relationship Id="rId96" Type="http://schemas.openxmlformats.org/officeDocument/2006/relationships/image" Target="../media/image2097.png"/><Relationship Id="rId99" Type="http://schemas.openxmlformats.org/officeDocument/2006/relationships/image" Target="../media/image1383.png"/><Relationship Id="rId98" Type="http://schemas.openxmlformats.org/officeDocument/2006/relationships/image" Target="../media/image2085.png"/><Relationship Id="rId91" Type="http://schemas.openxmlformats.org/officeDocument/2006/relationships/image" Target="../media/image1372.png"/><Relationship Id="rId90" Type="http://schemas.openxmlformats.org/officeDocument/2006/relationships/image" Target="../media/image2068.png"/><Relationship Id="rId93" Type="http://schemas.openxmlformats.org/officeDocument/2006/relationships/image" Target="../media/image1365.png"/><Relationship Id="rId92" Type="http://schemas.openxmlformats.org/officeDocument/2006/relationships/image" Target="../media/image1936.png"/><Relationship Id="rId118" Type="http://schemas.openxmlformats.org/officeDocument/2006/relationships/image" Target="../media/image1228.png"/><Relationship Id="rId117" Type="http://schemas.openxmlformats.org/officeDocument/2006/relationships/image" Target="../media/image2148.png"/><Relationship Id="rId116" Type="http://schemas.openxmlformats.org/officeDocument/2006/relationships/image" Target="../media/image2095.png"/><Relationship Id="rId115" Type="http://schemas.openxmlformats.org/officeDocument/2006/relationships/image" Target="../media/image1169.png"/><Relationship Id="rId119" Type="http://schemas.openxmlformats.org/officeDocument/2006/relationships/image" Target="../media/image2115.png"/><Relationship Id="rId110" Type="http://schemas.openxmlformats.org/officeDocument/2006/relationships/image" Target="../media/image2079.png"/><Relationship Id="rId114" Type="http://schemas.openxmlformats.org/officeDocument/2006/relationships/image" Target="../media/image1163.png"/><Relationship Id="rId113" Type="http://schemas.openxmlformats.org/officeDocument/2006/relationships/image" Target="../media/image1201.png"/><Relationship Id="rId112" Type="http://schemas.openxmlformats.org/officeDocument/2006/relationships/image" Target="../media/image2092.png"/><Relationship Id="rId111" Type="http://schemas.openxmlformats.org/officeDocument/2006/relationships/image" Target="../media/image208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2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5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4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2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6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5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4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2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2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3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2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5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1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4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3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3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2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2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43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1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51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3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3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3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3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3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4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2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5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4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7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4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6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4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3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6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2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4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7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5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6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5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3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8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4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6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5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6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5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7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6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8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56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4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0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7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7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6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9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0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1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2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8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98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8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1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9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7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9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8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9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8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9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9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0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9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4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5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9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9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0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0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0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0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0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0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4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76250" cy="476250"/>
    <xdr:pic>
      <xdr:nvPicPr>
        <xdr:cNvPr id="0" name="image14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12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16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11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15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11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12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12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17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13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2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14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16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12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12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15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13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13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13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13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12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13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16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19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12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18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15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13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14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13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11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28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13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14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15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16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120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15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14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15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14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14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17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18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9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6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151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156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226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12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17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6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7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8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8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8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8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8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23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9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9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19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2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30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20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18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20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18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20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18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20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6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19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7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19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10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26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20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9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22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31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6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20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20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28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19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19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21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7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22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8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21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224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221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22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20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32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21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20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211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207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197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19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214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212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227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20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21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20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261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380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21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217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229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63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231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223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8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230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225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249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239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235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266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385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238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242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237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476250" cy="476250"/>
    <xdr:pic>
      <xdr:nvPicPr>
        <xdr:cNvPr id="0" name="image234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476250" cy="476250"/>
    <xdr:pic>
      <xdr:nvPicPr>
        <xdr:cNvPr id="0" name="image262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476250" cy="476250"/>
    <xdr:pic>
      <xdr:nvPicPr>
        <xdr:cNvPr id="0" name="image247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76250" cy="476250"/>
    <xdr:pic>
      <xdr:nvPicPr>
        <xdr:cNvPr id="0" name="image246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21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76250" cy="476250"/>
    <xdr:pic>
      <xdr:nvPicPr>
        <xdr:cNvPr id="0" name="image257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76250" cy="476250"/>
    <xdr:pic>
      <xdr:nvPicPr>
        <xdr:cNvPr id="0" name="image244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76250" cy="476250"/>
    <xdr:pic>
      <xdr:nvPicPr>
        <xdr:cNvPr id="0" name="image233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76250" cy="476250"/>
    <xdr:pic>
      <xdr:nvPicPr>
        <xdr:cNvPr id="0" name="image268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476250" cy="476250"/>
    <xdr:pic>
      <xdr:nvPicPr>
        <xdr:cNvPr id="0" name="image394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76250" cy="476250"/>
    <xdr:pic>
      <xdr:nvPicPr>
        <xdr:cNvPr id="0" name="image248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476250" cy="476250"/>
    <xdr:pic>
      <xdr:nvPicPr>
        <xdr:cNvPr id="0" name="image236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21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76250" cy="476250"/>
    <xdr:pic>
      <xdr:nvPicPr>
        <xdr:cNvPr id="0" name="image241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20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476250" cy="476250"/>
    <xdr:pic>
      <xdr:nvPicPr>
        <xdr:cNvPr id="0" name="image256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476250" cy="476250"/>
    <xdr:pic>
      <xdr:nvPicPr>
        <xdr:cNvPr id="0" name="image267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21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76250" cy="476250"/>
    <xdr:pic>
      <xdr:nvPicPr>
        <xdr:cNvPr id="0" name="image253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76250" cy="476250"/>
    <xdr:pic>
      <xdr:nvPicPr>
        <xdr:cNvPr id="0" name="image251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476250" cy="476250"/>
    <xdr:pic>
      <xdr:nvPicPr>
        <xdr:cNvPr id="0" name="image254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476250" cy="476250"/>
    <xdr:pic>
      <xdr:nvPicPr>
        <xdr:cNvPr id="0" name="image275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476250" cy="476250"/>
    <xdr:pic>
      <xdr:nvPicPr>
        <xdr:cNvPr id="0" name="image240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476250" cy="476250"/>
    <xdr:pic>
      <xdr:nvPicPr>
        <xdr:cNvPr id="0" name="image274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8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476250" cy="476250"/>
    <xdr:pic>
      <xdr:nvPicPr>
        <xdr:cNvPr id="0" name="image89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76250" cy="476250"/>
    <xdr:pic>
      <xdr:nvPicPr>
        <xdr:cNvPr id="0" name="image277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76250" cy="476250"/>
    <xdr:pic>
      <xdr:nvPicPr>
        <xdr:cNvPr id="0" name="image243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476250" cy="476250"/>
    <xdr:pic>
      <xdr:nvPicPr>
        <xdr:cNvPr id="0" name="image456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76250" cy="476250"/>
    <xdr:pic>
      <xdr:nvPicPr>
        <xdr:cNvPr id="0" name="image245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476250" cy="476250"/>
    <xdr:pic>
      <xdr:nvPicPr>
        <xdr:cNvPr id="0" name="image250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76250" cy="476250"/>
    <xdr:pic>
      <xdr:nvPicPr>
        <xdr:cNvPr id="0" name="image276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476250" cy="476250"/>
    <xdr:pic>
      <xdr:nvPicPr>
        <xdr:cNvPr id="0" name="image252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0" name="image18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476250" cy="476250"/>
    <xdr:pic>
      <xdr:nvPicPr>
        <xdr:cNvPr id="0" name="image255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0" name="image21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76250" cy="476250"/>
    <xdr:pic>
      <xdr:nvPicPr>
        <xdr:cNvPr id="0" name="image259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476250" cy="476250"/>
    <xdr:pic>
      <xdr:nvPicPr>
        <xdr:cNvPr id="0" name="image273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476250" cy="476250"/>
    <xdr:pic>
      <xdr:nvPicPr>
        <xdr:cNvPr id="0" name="image263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476250" cy="476250"/>
    <xdr:pic>
      <xdr:nvPicPr>
        <xdr:cNvPr id="0" name="image278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76250" cy="476250"/>
    <xdr:pic>
      <xdr:nvPicPr>
        <xdr:cNvPr id="0" name="image413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76250" cy="476250"/>
    <xdr:pic>
      <xdr:nvPicPr>
        <xdr:cNvPr id="0" name="image265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476250" cy="476250"/>
    <xdr:pic>
      <xdr:nvPicPr>
        <xdr:cNvPr id="0" name="image264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76250" cy="476250"/>
    <xdr:pic>
      <xdr:nvPicPr>
        <xdr:cNvPr id="0" name="image271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0" name="image23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76250" cy="476250"/>
    <xdr:pic>
      <xdr:nvPicPr>
        <xdr:cNvPr id="0" name="image269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0" name="image183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76250" cy="476250"/>
    <xdr:pic>
      <xdr:nvPicPr>
        <xdr:cNvPr id="0" name="image272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0" name="image27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76250" cy="476250"/>
    <xdr:pic>
      <xdr:nvPicPr>
        <xdr:cNvPr id="0" name="image258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0" name="image19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476250" cy="476250"/>
    <xdr:pic>
      <xdr:nvPicPr>
        <xdr:cNvPr id="0" name="image279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8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7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8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8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6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8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23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8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29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7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8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7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7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85775" cy="485775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9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29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3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29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4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30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32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28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28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28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24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31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28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30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29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29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46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30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28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28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29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28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28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32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28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29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29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29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31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52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30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29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30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31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30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31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30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33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306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305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339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458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319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31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345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32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31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323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317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32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37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332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325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461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322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31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343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33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330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33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338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39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35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35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35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26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34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33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34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33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27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44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34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32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34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36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36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33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35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46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5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34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36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34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34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35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34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36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40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35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37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46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36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35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36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39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35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7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36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40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36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38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37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46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37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37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35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44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6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36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37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39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38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37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41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38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49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37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38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38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38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37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40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37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39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42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388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39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46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393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415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410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397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387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402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39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404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412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403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419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501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408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424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409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405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417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421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399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418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431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407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41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623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444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426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453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433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4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4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42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42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43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44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2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44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52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4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45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42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43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44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43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42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43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43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47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43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6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47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23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4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47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44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44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43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44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44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45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45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60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45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45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45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489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454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47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474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46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477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469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46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48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611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47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460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499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491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470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476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488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492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493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479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494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61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484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48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50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48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25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48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48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50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49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49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49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50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50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24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56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48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50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49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26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50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50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51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5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51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62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52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50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50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51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52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51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54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52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51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54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51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53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61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513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51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54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52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54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539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526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52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527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530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5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6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53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53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51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52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22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24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53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53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53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53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55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54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62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56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54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57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54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58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54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56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55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55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55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54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55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64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54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55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56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55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56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57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56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55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579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574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57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6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58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55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56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56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56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57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56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55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69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58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57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57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58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60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22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57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59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58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57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58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58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64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58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64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60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59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59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59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58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58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60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61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59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59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59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660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61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596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621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594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59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609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60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617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639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63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605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65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618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636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9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0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0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0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2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3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20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2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8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2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62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3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65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64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0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63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5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62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9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9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1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63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63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0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4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0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5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0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0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4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0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2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3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3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7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9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4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9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64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9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4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65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8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66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64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1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9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67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68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65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7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0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6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7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8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64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65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8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8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0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70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1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67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9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7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76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91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8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88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99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3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7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23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7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7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22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6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6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5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64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67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1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67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5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9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8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4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5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6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2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8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6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69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3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68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2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68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5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0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5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2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65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70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68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69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3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68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2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2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66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67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4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653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664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729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6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676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2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6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2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43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694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5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688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687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3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13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733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40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3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74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0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8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0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9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9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3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69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0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5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0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5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3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0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3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70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71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7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2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71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3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73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71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2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72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7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72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4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71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3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72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5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65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6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25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52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6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70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46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4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53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41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37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5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48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7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01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50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67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6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68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7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734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64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6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5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7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7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22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2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0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3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1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2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1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0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71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2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22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3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2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4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7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4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1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73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78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73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72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74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4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3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5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3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4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5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73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5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4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4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4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7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4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5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75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77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5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8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6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7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7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5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80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6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82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7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7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7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5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6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6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23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76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234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78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9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76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77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80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5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9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8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7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6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9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6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6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76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8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9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8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8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0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9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9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80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9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8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8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79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2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3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0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5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5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0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79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8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9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3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5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81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5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9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3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74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74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74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81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8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77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74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74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74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0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25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82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6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3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0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2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82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83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85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82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81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83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80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83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1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85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81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0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1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7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89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1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3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4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2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82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4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8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3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82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22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82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2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4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83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88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82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88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1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84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89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83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740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72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70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22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25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84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72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73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72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781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738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28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4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3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83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8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4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5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20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84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84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4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85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87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84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85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88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6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86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83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86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85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85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86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89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27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90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87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87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86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86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84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85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85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87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90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6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25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89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90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9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7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8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21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96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7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89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22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5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6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85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5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86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86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76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88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23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87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87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89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77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77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93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78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75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76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80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76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82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75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77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76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23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79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78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80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7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9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7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2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7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7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8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8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9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4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10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88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91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94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90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90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9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89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90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90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88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92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90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9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97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94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1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9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11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91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92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12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95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91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13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90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9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90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9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13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91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104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94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91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92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93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91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94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92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92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94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92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92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106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99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92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95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93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93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94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94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15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93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9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11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965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98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110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165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96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279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95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95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93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933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941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928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476250" cy="476250"/>
    <xdr:pic>
      <xdr:nvPicPr>
        <xdr:cNvPr id="0" name="image939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476250" cy="476250"/>
    <xdr:pic>
      <xdr:nvPicPr>
        <xdr:cNvPr id="0" name="image942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476250" cy="476250"/>
    <xdr:pic>
      <xdr:nvPicPr>
        <xdr:cNvPr id="0" name="image944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76250" cy="476250"/>
    <xdr:pic>
      <xdr:nvPicPr>
        <xdr:cNvPr id="0" name="image951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76250" cy="476250"/>
    <xdr:pic>
      <xdr:nvPicPr>
        <xdr:cNvPr id="0" name="image1029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76250" cy="476250"/>
    <xdr:pic>
      <xdr:nvPicPr>
        <xdr:cNvPr id="0" name="image999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76250" cy="476250"/>
    <xdr:pic>
      <xdr:nvPicPr>
        <xdr:cNvPr id="0" name="image956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76250" cy="476250"/>
    <xdr:pic>
      <xdr:nvPicPr>
        <xdr:cNvPr id="0" name="image950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476250" cy="476250"/>
    <xdr:pic>
      <xdr:nvPicPr>
        <xdr:cNvPr id="0" name="image930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76250" cy="476250"/>
    <xdr:pic>
      <xdr:nvPicPr>
        <xdr:cNvPr id="0" name="image970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476250" cy="476250"/>
    <xdr:pic>
      <xdr:nvPicPr>
        <xdr:cNvPr id="0" name="image953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76250" cy="476250"/>
    <xdr:pic>
      <xdr:nvPicPr>
        <xdr:cNvPr id="0" name="image955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476250" cy="476250"/>
    <xdr:pic>
      <xdr:nvPicPr>
        <xdr:cNvPr id="0" name="image964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476250" cy="476250"/>
    <xdr:pic>
      <xdr:nvPicPr>
        <xdr:cNvPr id="0" name="image973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76250" cy="476250"/>
    <xdr:pic>
      <xdr:nvPicPr>
        <xdr:cNvPr id="0" name="image960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76250" cy="476250"/>
    <xdr:pic>
      <xdr:nvPicPr>
        <xdr:cNvPr id="0" name="image983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476250" cy="476250"/>
    <xdr:pic>
      <xdr:nvPicPr>
        <xdr:cNvPr id="0" name="image1110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476250" cy="476250"/>
    <xdr:pic>
      <xdr:nvPicPr>
        <xdr:cNvPr id="0" name="image1008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476250" cy="476250"/>
    <xdr:pic>
      <xdr:nvPicPr>
        <xdr:cNvPr id="0" name="image962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476250" cy="476250"/>
    <xdr:pic>
      <xdr:nvPicPr>
        <xdr:cNvPr id="0" name="image963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476250" cy="476250"/>
    <xdr:pic>
      <xdr:nvPicPr>
        <xdr:cNvPr id="0" name="image961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76250" cy="476250"/>
    <xdr:pic>
      <xdr:nvPicPr>
        <xdr:cNvPr id="0" name="image969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76250" cy="476250"/>
    <xdr:pic>
      <xdr:nvPicPr>
        <xdr:cNvPr id="0" name="image972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476250" cy="476250"/>
    <xdr:pic>
      <xdr:nvPicPr>
        <xdr:cNvPr id="0" name="image992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76250" cy="476250"/>
    <xdr:pic>
      <xdr:nvPicPr>
        <xdr:cNvPr id="0" name="image968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476250" cy="476250"/>
    <xdr:pic>
      <xdr:nvPicPr>
        <xdr:cNvPr id="0" name="image976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76250" cy="476250"/>
    <xdr:pic>
      <xdr:nvPicPr>
        <xdr:cNvPr id="0" name="image981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476250" cy="476250"/>
    <xdr:pic>
      <xdr:nvPicPr>
        <xdr:cNvPr id="0" name="image984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476250" cy="476250"/>
    <xdr:pic>
      <xdr:nvPicPr>
        <xdr:cNvPr id="0" name="image1083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76250" cy="476250"/>
    <xdr:pic>
      <xdr:nvPicPr>
        <xdr:cNvPr id="0" name="image1007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476250" cy="476250"/>
    <xdr:pic>
      <xdr:nvPicPr>
        <xdr:cNvPr id="0" name="image971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476250" cy="476250"/>
    <xdr:pic>
      <xdr:nvPicPr>
        <xdr:cNvPr id="0" name="image1002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476250" cy="476250"/>
    <xdr:pic>
      <xdr:nvPicPr>
        <xdr:cNvPr id="0" name="image977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76250" cy="476250"/>
    <xdr:pic>
      <xdr:nvPicPr>
        <xdr:cNvPr id="0" name="image989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76250" cy="476250"/>
    <xdr:pic>
      <xdr:nvPicPr>
        <xdr:cNvPr id="0" name="image979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476250" cy="476250"/>
    <xdr:pic>
      <xdr:nvPicPr>
        <xdr:cNvPr id="0" name="image978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76250" cy="476250"/>
    <xdr:pic>
      <xdr:nvPicPr>
        <xdr:cNvPr id="0" name="image1005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76250" cy="476250"/>
    <xdr:pic>
      <xdr:nvPicPr>
        <xdr:cNvPr id="0" name="image988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76250" cy="476250"/>
    <xdr:pic>
      <xdr:nvPicPr>
        <xdr:cNvPr id="0" name="image982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76250" cy="476250"/>
    <xdr:pic>
      <xdr:nvPicPr>
        <xdr:cNvPr id="0" name="image985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476250" cy="476250"/>
    <xdr:pic>
      <xdr:nvPicPr>
        <xdr:cNvPr id="0" name="image1012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476250" cy="476250"/>
    <xdr:pic>
      <xdr:nvPicPr>
        <xdr:cNvPr id="0" name="image1112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476250" cy="476250"/>
    <xdr:pic>
      <xdr:nvPicPr>
        <xdr:cNvPr id="0" name="image974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476250" cy="476250"/>
    <xdr:pic>
      <xdr:nvPicPr>
        <xdr:cNvPr id="0" name="image1003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476250" cy="476250"/>
    <xdr:pic>
      <xdr:nvPicPr>
        <xdr:cNvPr id="0" name="image991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476250" cy="476250"/>
    <xdr:pic>
      <xdr:nvPicPr>
        <xdr:cNvPr id="0" name="image987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476250" cy="476250"/>
    <xdr:pic>
      <xdr:nvPicPr>
        <xdr:cNvPr id="0" name="image994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476250" cy="476250"/>
    <xdr:pic>
      <xdr:nvPicPr>
        <xdr:cNvPr id="0" name="image997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476250" cy="476250"/>
    <xdr:pic>
      <xdr:nvPicPr>
        <xdr:cNvPr id="0" name="image1004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476250" cy="476250"/>
    <xdr:pic>
      <xdr:nvPicPr>
        <xdr:cNvPr id="0" name="image986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476250" cy="476250"/>
    <xdr:pic>
      <xdr:nvPicPr>
        <xdr:cNvPr id="0" name="image1001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476250" cy="476250"/>
    <xdr:pic>
      <xdr:nvPicPr>
        <xdr:cNvPr id="0" name="image990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476250" cy="476250"/>
    <xdr:pic>
      <xdr:nvPicPr>
        <xdr:cNvPr id="0" name="image1114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476250" cy="476250"/>
    <xdr:pic>
      <xdr:nvPicPr>
        <xdr:cNvPr id="0" name="image1013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476250" cy="476250"/>
    <xdr:pic>
      <xdr:nvPicPr>
        <xdr:cNvPr id="0" name="image993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476250" cy="476250"/>
    <xdr:pic>
      <xdr:nvPicPr>
        <xdr:cNvPr id="0" name="image998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476250" cy="476250"/>
    <xdr:pic>
      <xdr:nvPicPr>
        <xdr:cNvPr id="0" name="image1000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476250" cy="476250"/>
    <xdr:pic>
      <xdr:nvPicPr>
        <xdr:cNvPr id="0" name="image1006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476250" cy="476250"/>
    <xdr:pic>
      <xdr:nvPicPr>
        <xdr:cNvPr id="0" name="image995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476250" cy="476250"/>
    <xdr:pic>
      <xdr:nvPicPr>
        <xdr:cNvPr id="0" name="image1016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476250" cy="476250"/>
    <xdr:pic>
      <xdr:nvPicPr>
        <xdr:cNvPr id="0" name="image1010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476250" cy="476250"/>
    <xdr:pic>
      <xdr:nvPicPr>
        <xdr:cNvPr id="0" name="image101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476250" cy="476250"/>
    <xdr:pic>
      <xdr:nvPicPr>
        <xdr:cNvPr id="0" name="image1018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476250" cy="476250"/>
    <xdr:pic>
      <xdr:nvPicPr>
        <xdr:cNvPr id="0" name="image1011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476250" cy="476250"/>
    <xdr:pic>
      <xdr:nvPicPr>
        <xdr:cNvPr id="0" name="image1113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476250" cy="476250"/>
    <xdr:pic>
      <xdr:nvPicPr>
        <xdr:cNvPr id="0" name="image1030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476250" cy="476250"/>
    <xdr:pic>
      <xdr:nvPicPr>
        <xdr:cNvPr id="0" name="image1025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476250" cy="476250"/>
    <xdr:pic>
      <xdr:nvPicPr>
        <xdr:cNvPr id="0" name="image1015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476250" cy="476250"/>
    <xdr:pic>
      <xdr:nvPicPr>
        <xdr:cNvPr id="0" name="image1019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476250" cy="476250"/>
    <xdr:pic>
      <xdr:nvPicPr>
        <xdr:cNvPr id="0" name="image1024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476250" cy="476250"/>
    <xdr:pic>
      <xdr:nvPicPr>
        <xdr:cNvPr id="0" name="image1014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476250" cy="476250"/>
    <xdr:pic>
      <xdr:nvPicPr>
        <xdr:cNvPr id="0" name="image1009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476250" cy="476250"/>
    <xdr:pic>
      <xdr:nvPicPr>
        <xdr:cNvPr id="0" name="image1022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476250" cy="476250"/>
    <xdr:pic>
      <xdr:nvPicPr>
        <xdr:cNvPr id="0" name="image1046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476250" cy="476250"/>
    <xdr:pic>
      <xdr:nvPicPr>
        <xdr:cNvPr id="0" name="image1043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476250" cy="476250"/>
    <xdr:pic>
      <xdr:nvPicPr>
        <xdr:cNvPr id="0" name="image1021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476250" cy="476250"/>
    <xdr:pic>
      <xdr:nvPicPr>
        <xdr:cNvPr id="0" name="image1118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476250" cy="476250"/>
    <xdr:pic>
      <xdr:nvPicPr>
        <xdr:cNvPr id="0" name="image1031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476250" cy="476250"/>
    <xdr:pic>
      <xdr:nvPicPr>
        <xdr:cNvPr id="0" name="image1042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476250" cy="476250"/>
    <xdr:pic>
      <xdr:nvPicPr>
        <xdr:cNvPr id="0" name="image1028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476250" cy="476250"/>
    <xdr:pic>
      <xdr:nvPicPr>
        <xdr:cNvPr id="0" name="image1049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476250" cy="476250"/>
    <xdr:pic>
      <xdr:nvPicPr>
        <xdr:cNvPr id="0" name="image1055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476250" cy="476250"/>
    <xdr:pic>
      <xdr:nvPicPr>
        <xdr:cNvPr id="0" name="image1037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476250" cy="476250"/>
    <xdr:pic>
      <xdr:nvPicPr>
        <xdr:cNvPr id="0" name="image1023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476250" cy="476250"/>
    <xdr:pic>
      <xdr:nvPicPr>
        <xdr:cNvPr id="0" name="image1033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476250" cy="476250"/>
    <xdr:pic>
      <xdr:nvPicPr>
        <xdr:cNvPr id="0" name="image1020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476250" cy="476250"/>
    <xdr:pic>
      <xdr:nvPicPr>
        <xdr:cNvPr id="0" name="image1036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476250" cy="476250"/>
    <xdr:pic>
      <xdr:nvPicPr>
        <xdr:cNvPr id="0" name="image1032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476250" cy="476250"/>
    <xdr:pic>
      <xdr:nvPicPr>
        <xdr:cNvPr id="0" name="image1123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02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76250" cy="476250"/>
    <xdr:pic>
      <xdr:nvPicPr>
        <xdr:cNvPr id="0" name="image103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476250" cy="476250"/>
    <xdr:pic>
      <xdr:nvPicPr>
        <xdr:cNvPr id="0" name="image105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04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476250" cy="476250"/>
    <xdr:pic>
      <xdr:nvPicPr>
        <xdr:cNvPr id="0" name="image104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476250" cy="476250"/>
    <xdr:pic>
      <xdr:nvPicPr>
        <xdr:cNvPr id="0" name="image103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02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76250" cy="476250"/>
    <xdr:pic>
      <xdr:nvPicPr>
        <xdr:cNvPr id="0" name="image103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476250" cy="476250"/>
    <xdr:pic>
      <xdr:nvPicPr>
        <xdr:cNvPr id="0" name="image105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04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76250" cy="476250"/>
    <xdr:pic>
      <xdr:nvPicPr>
        <xdr:cNvPr id="0" name="image104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476250" cy="476250"/>
    <xdr:pic>
      <xdr:nvPicPr>
        <xdr:cNvPr id="0" name="image104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15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76250" cy="476250"/>
    <xdr:pic>
      <xdr:nvPicPr>
        <xdr:cNvPr id="0" name="image103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476250" cy="476250"/>
    <xdr:pic>
      <xdr:nvPicPr>
        <xdr:cNvPr id="0" name="image105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05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476250" cy="476250"/>
    <xdr:pic>
      <xdr:nvPicPr>
        <xdr:cNvPr id="0" name="image105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476250" cy="476250"/>
    <xdr:pic>
      <xdr:nvPicPr>
        <xdr:cNvPr id="0" name="image106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05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76250" cy="476250"/>
    <xdr:pic>
      <xdr:nvPicPr>
        <xdr:cNvPr id="0" name="image105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476250" cy="476250"/>
    <xdr:pic>
      <xdr:nvPicPr>
        <xdr:cNvPr id="0" name="image106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06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76250" cy="476250"/>
    <xdr:pic>
      <xdr:nvPicPr>
        <xdr:cNvPr id="0" name="image105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476250" cy="476250"/>
    <xdr:pic>
      <xdr:nvPicPr>
        <xdr:cNvPr id="0" name="image107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1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76250" cy="476250"/>
    <xdr:pic>
      <xdr:nvPicPr>
        <xdr:cNvPr id="0" name="image105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476250" cy="476250"/>
    <xdr:pic>
      <xdr:nvPicPr>
        <xdr:cNvPr id="0" name="image106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06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76250" cy="476250"/>
    <xdr:pic>
      <xdr:nvPicPr>
        <xdr:cNvPr id="0" name="image106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476250" cy="476250"/>
    <xdr:pic>
      <xdr:nvPicPr>
        <xdr:cNvPr id="0" name="image106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06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76250" cy="476250"/>
    <xdr:pic>
      <xdr:nvPicPr>
        <xdr:cNvPr id="0" name="image107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476250" cy="476250"/>
    <xdr:pic>
      <xdr:nvPicPr>
        <xdr:cNvPr id="0" name="image109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086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476250" cy="476250"/>
    <xdr:pic>
      <xdr:nvPicPr>
        <xdr:cNvPr id="0" name="image107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476250" cy="476250"/>
    <xdr:pic>
      <xdr:nvPicPr>
        <xdr:cNvPr id="0" name="image115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09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476250" cy="476250"/>
    <xdr:pic>
      <xdr:nvPicPr>
        <xdr:cNvPr id="0" name="image1078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476250" cy="476250"/>
    <xdr:pic>
      <xdr:nvPicPr>
        <xdr:cNvPr id="0" name="image1074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092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476250" cy="476250"/>
    <xdr:pic>
      <xdr:nvPicPr>
        <xdr:cNvPr id="0" name="image107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476250" cy="476250"/>
    <xdr:pic>
      <xdr:nvPicPr>
        <xdr:cNvPr id="0" name="image1126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06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476250" cy="476250"/>
    <xdr:pic>
      <xdr:nvPicPr>
        <xdr:cNvPr id="0" name="image1080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476250" cy="476250"/>
    <xdr:pic>
      <xdr:nvPicPr>
        <xdr:cNvPr id="0" name="image1076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081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476250" cy="476250"/>
    <xdr:pic>
      <xdr:nvPicPr>
        <xdr:cNvPr id="0" name="image110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476250" cy="476250"/>
    <xdr:pic>
      <xdr:nvPicPr>
        <xdr:cNvPr id="0" name="image117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072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476250" cy="476250"/>
    <xdr:pic>
      <xdr:nvPicPr>
        <xdr:cNvPr id="0" name="image1071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476250" cy="476250"/>
    <xdr:pic>
      <xdr:nvPicPr>
        <xdr:cNvPr id="0" name="image108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08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476250" cy="476250"/>
    <xdr:pic>
      <xdr:nvPicPr>
        <xdr:cNvPr id="0" name="image1131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476250" cy="476250"/>
    <xdr:pic>
      <xdr:nvPicPr>
        <xdr:cNvPr id="0" name="image1079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133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476250" cy="476250"/>
    <xdr:pic>
      <xdr:nvPicPr>
        <xdr:cNvPr id="0" name="image111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476250"/>
    <xdr:pic>
      <xdr:nvPicPr>
        <xdr:cNvPr id="0" name="image1132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10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476250" cy="476250"/>
    <xdr:pic>
      <xdr:nvPicPr>
        <xdr:cNvPr id="0" name="image109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476250" cy="476250"/>
    <xdr:pic>
      <xdr:nvPicPr>
        <xdr:cNvPr id="0" name="image1136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119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476250" cy="476250"/>
    <xdr:pic>
      <xdr:nvPicPr>
        <xdr:cNvPr id="0" name="image1082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476250" cy="476250"/>
    <xdr:pic>
      <xdr:nvPicPr>
        <xdr:cNvPr id="0" name="image109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088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76250" cy="476250"/>
    <xdr:pic>
      <xdr:nvPicPr>
        <xdr:cNvPr id="0" name="image1089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476250" cy="476250"/>
    <xdr:pic>
      <xdr:nvPicPr>
        <xdr:cNvPr id="0" name="image1087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096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476250" cy="476250"/>
    <xdr:pic>
      <xdr:nvPicPr>
        <xdr:cNvPr id="0" name="image1100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476250" cy="476250"/>
    <xdr:pic>
      <xdr:nvPicPr>
        <xdr:cNvPr id="0" name="image109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095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476250" cy="476250"/>
    <xdr:pic>
      <xdr:nvPicPr>
        <xdr:cNvPr id="0" name="image1091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476250" cy="476250"/>
    <xdr:pic>
      <xdr:nvPicPr>
        <xdr:cNvPr id="0" name="image1165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134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476250" cy="476250"/>
    <xdr:pic>
      <xdr:nvPicPr>
        <xdr:cNvPr id="0" name="image1099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476250" cy="476250"/>
    <xdr:pic>
      <xdr:nvPicPr>
        <xdr:cNvPr id="0" name="image1115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103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476250" cy="476250"/>
    <xdr:pic>
      <xdr:nvPicPr>
        <xdr:cNvPr id="0" name="image1102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476250" cy="476250"/>
    <xdr:pic>
      <xdr:nvPicPr>
        <xdr:cNvPr id="0" name="image1101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111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476250" cy="476250"/>
    <xdr:pic>
      <xdr:nvPicPr>
        <xdr:cNvPr id="0" name="image1142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476250" cy="476250"/>
    <xdr:pic>
      <xdr:nvPicPr>
        <xdr:cNvPr id="0" name="image1139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124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476250" cy="476250"/>
    <xdr:pic>
      <xdr:nvPicPr>
        <xdr:cNvPr id="0" name="image1127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476250" cy="476250"/>
    <xdr:pic>
      <xdr:nvPicPr>
        <xdr:cNvPr id="0" name="image1189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121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476250" cy="476250"/>
    <xdr:pic>
      <xdr:nvPicPr>
        <xdr:cNvPr id="0" name="image1135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476250" cy="476250"/>
    <xdr:pic>
      <xdr:nvPicPr>
        <xdr:cNvPr id="0" name="image1117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129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476250" cy="476250"/>
    <xdr:pic>
      <xdr:nvPicPr>
        <xdr:cNvPr id="0" name="image1105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476250" cy="476250"/>
    <xdr:pic>
      <xdr:nvPicPr>
        <xdr:cNvPr id="0" name="image1137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107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476250" cy="476250"/>
    <xdr:pic>
      <xdr:nvPicPr>
        <xdr:cNvPr id="0" name="image1149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476250" cy="476250"/>
    <xdr:pic>
      <xdr:nvPicPr>
        <xdr:cNvPr id="0" name="image1128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166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476250" cy="476250"/>
    <xdr:pic>
      <xdr:nvPicPr>
        <xdr:cNvPr id="0" name="image1161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476250" cy="476250"/>
    <xdr:pic>
      <xdr:nvPicPr>
        <xdr:cNvPr id="0" name="image1188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144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476250" cy="476250"/>
    <xdr:pic>
      <xdr:nvPicPr>
        <xdr:cNvPr id="0" name="image1120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476250" cy="476250"/>
    <xdr:pic>
      <xdr:nvPicPr>
        <xdr:cNvPr id="0" name="image1130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160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476250" cy="476250"/>
    <xdr:pic>
      <xdr:nvPicPr>
        <xdr:cNvPr id="0" name="image1122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476250" cy="476250"/>
    <xdr:pic>
      <xdr:nvPicPr>
        <xdr:cNvPr id="0" name="image1140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143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476250" cy="476250"/>
    <xdr:pic>
      <xdr:nvPicPr>
        <xdr:cNvPr id="0" name="image1151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</xdr:row>
      <xdr:rowOff>0</xdr:rowOff>
    </xdr:from>
    <xdr:ext cx="476250" cy="476250"/>
    <xdr:pic>
      <xdr:nvPicPr>
        <xdr:cNvPr id="0" name="image1138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157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476250" cy="476250"/>
    <xdr:pic>
      <xdr:nvPicPr>
        <xdr:cNvPr id="0" name="image1150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</xdr:row>
      <xdr:rowOff>0</xdr:rowOff>
    </xdr:from>
    <xdr:ext cx="476250" cy="476250"/>
    <xdr:pic>
      <xdr:nvPicPr>
        <xdr:cNvPr id="0" name="image1146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207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476250" cy="476250"/>
    <xdr:pic>
      <xdr:nvPicPr>
        <xdr:cNvPr id="0" name="image1159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</xdr:row>
      <xdr:rowOff>0</xdr:rowOff>
    </xdr:from>
    <xdr:ext cx="476250" cy="476250"/>
    <xdr:pic>
      <xdr:nvPicPr>
        <xdr:cNvPr id="0" name="image1145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154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476250" cy="476250"/>
    <xdr:pic>
      <xdr:nvPicPr>
        <xdr:cNvPr id="0" name="image114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476250" cy="476250"/>
    <xdr:pic>
      <xdr:nvPicPr>
        <xdr:cNvPr id="0" name="image1141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156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476250" cy="476250"/>
    <xdr:pic>
      <xdr:nvPicPr>
        <xdr:cNvPr id="0" name="image1152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476250" cy="476250"/>
    <xdr:pic>
      <xdr:nvPicPr>
        <xdr:cNvPr id="0" name="image1158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164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476250" cy="476250"/>
    <xdr:pic>
      <xdr:nvPicPr>
        <xdr:cNvPr id="0" name="image1168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476250" cy="476250"/>
    <xdr:pic>
      <xdr:nvPicPr>
        <xdr:cNvPr id="0" name="image1202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192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476250" cy="476250"/>
    <xdr:pic>
      <xdr:nvPicPr>
        <xdr:cNvPr id="0" name="image1148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476250" cy="476250"/>
    <xdr:pic>
      <xdr:nvPicPr>
        <xdr:cNvPr id="0" name="image1162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76250" cy="476250"/>
    <xdr:pic>
      <xdr:nvPicPr>
        <xdr:cNvPr id="0" name="image105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05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0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06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17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06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16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05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18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14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08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16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06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14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06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13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09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14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13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18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20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08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07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13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12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04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12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11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15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15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09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13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09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07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03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138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079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11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13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141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10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108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08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16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153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065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15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154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05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051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12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192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107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045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092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103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068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125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041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119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121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08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160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061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207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144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129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084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143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164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111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086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134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157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063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093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096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027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026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072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0" name="image1095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0" name="image1133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0" name="image1059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0" name="image1120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0" name="image1100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1080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0" name="image1073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0" name="image1098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0" name="image1038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0" name="image1159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0" name="image1150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0" name="image1060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0" name="image1091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0" name="image1122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476250" cy="476250"/>
    <xdr:pic>
      <xdr:nvPicPr>
        <xdr:cNvPr id="0" name="image1149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476250" cy="476250"/>
    <xdr:pic>
      <xdr:nvPicPr>
        <xdr:cNvPr id="0" name="image1054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476250" cy="476250"/>
    <xdr:pic>
      <xdr:nvPicPr>
        <xdr:cNvPr id="0" name="image1077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476250" cy="476250"/>
    <xdr:pic>
      <xdr:nvPicPr>
        <xdr:cNvPr id="0" name="image1099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476250" cy="476250"/>
    <xdr:pic>
      <xdr:nvPicPr>
        <xdr:cNvPr id="0" name="image1127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476250" cy="476250"/>
    <xdr:pic>
      <xdr:nvPicPr>
        <xdr:cNvPr id="0" name="image1135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476250" cy="476250"/>
    <xdr:pic>
      <xdr:nvPicPr>
        <xdr:cNvPr id="0" name="image1035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476250" cy="476250"/>
    <xdr:pic>
      <xdr:nvPicPr>
        <xdr:cNvPr id="0" name="image1102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476250" cy="476250"/>
    <xdr:pic>
      <xdr:nvPicPr>
        <xdr:cNvPr id="0" name="image1058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476250" cy="476250"/>
    <xdr:pic>
      <xdr:nvPicPr>
        <xdr:cNvPr id="0" name="image1142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476250" cy="476250"/>
    <xdr:pic>
      <xdr:nvPicPr>
        <xdr:cNvPr id="0" name="image1152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476250" cy="476250"/>
    <xdr:pic>
      <xdr:nvPicPr>
        <xdr:cNvPr id="0" name="image1116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476250" cy="476250"/>
    <xdr:pic>
      <xdr:nvPicPr>
        <xdr:cNvPr id="0" name="image1071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476250" cy="476250"/>
    <xdr:pic>
      <xdr:nvPicPr>
        <xdr:cNvPr id="0" name="image1070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476250" cy="476250"/>
    <xdr:pic>
      <xdr:nvPicPr>
        <xdr:cNvPr id="0" name="image1148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476250" cy="476250"/>
    <xdr:pic>
      <xdr:nvPicPr>
        <xdr:cNvPr id="0" name="image1047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476250" cy="476250"/>
    <xdr:pic>
      <xdr:nvPicPr>
        <xdr:cNvPr id="0" name="image1089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476250" cy="476250"/>
    <xdr:pic>
      <xdr:nvPicPr>
        <xdr:cNvPr id="0" name="image1161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476250" cy="476250"/>
    <xdr:pic>
      <xdr:nvPicPr>
        <xdr:cNvPr id="0" name="image114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476250" cy="476250"/>
    <xdr:pic>
      <xdr:nvPicPr>
        <xdr:cNvPr id="0" name="image1131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476250" cy="476250"/>
    <xdr:pic>
      <xdr:nvPicPr>
        <xdr:cNvPr id="0" name="image1151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476250" cy="476250"/>
    <xdr:pic>
      <xdr:nvPicPr>
        <xdr:cNvPr id="0" name="image1040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476250" cy="476250"/>
    <xdr:pic>
      <xdr:nvPicPr>
        <xdr:cNvPr id="0" name="image1105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476250" cy="476250"/>
    <xdr:pic>
      <xdr:nvPicPr>
        <xdr:cNvPr id="0" name="image1106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476250" cy="476250"/>
    <xdr:pic>
      <xdr:nvPicPr>
        <xdr:cNvPr id="0" name="image1078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476250" cy="476250"/>
    <xdr:pic>
      <xdr:nvPicPr>
        <xdr:cNvPr id="0" name="image1053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476250" cy="476250"/>
    <xdr:pic>
      <xdr:nvPicPr>
        <xdr:cNvPr id="0" name="image1039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476250" cy="476250"/>
    <xdr:pic>
      <xdr:nvPicPr>
        <xdr:cNvPr id="0" name="image1168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476250" cy="476250"/>
    <xdr:pic>
      <xdr:nvPicPr>
        <xdr:cNvPr id="0" name="image1082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76250" cy="476250"/>
    <xdr:pic>
      <xdr:nvPicPr>
        <xdr:cNvPr id="0" name="image105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466725" cy="476250"/>
    <xdr:pic>
      <xdr:nvPicPr>
        <xdr:cNvPr id="0" name="image1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105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105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476250" cy="476250"/>
    <xdr:pic>
      <xdr:nvPicPr>
        <xdr:cNvPr id="0" name="image118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107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466725" cy="476250"/>
    <xdr:pic>
      <xdr:nvPicPr>
        <xdr:cNvPr id="0" name="image120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117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76250" cy="476250"/>
    <xdr:pic>
      <xdr:nvPicPr>
        <xdr:cNvPr id="0" name="image119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476250" cy="476250"/>
    <xdr:pic>
      <xdr:nvPicPr>
        <xdr:cNvPr id="0" name="image119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106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476250" cy="476250"/>
    <xdr:pic>
      <xdr:nvPicPr>
        <xdr:cNvPr id="0" name="image120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1165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476250" cy="476250"/>
    <xdr:pic>
      <xdr:nvPicPr>
        <xdr:cNvPr id="0" name="image126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476250" cy="476250"/>
    <xdr:pic>
      <xdr:nvPicPr>
        <xdr:cNvPr id="0" name="image122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476250" cy="476250"/>
    <xdr:pic>
      <xdr:nvPicPr>
        <xdr:cNvPr id="0" name="image124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476250" cy="476250"/>
    <xdr:pic>
      <xdr:nvPicPr>
        <xdr:cNvPr id="0" name="image120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1057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476250" cy="476250"/>
    <xdr:pic>
      <xdr:nvPicPr>
        <xdr:cNvPr id="0" name="image126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476250" cy="476250"/>
    <xdr:pic>
      <xdr:nvPicPr>
        <xdr:cNvPr id="0" name="image122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</xdr:row>
      <xdr:rowOff>0</xdr:rowOff>
    </xdr:from>
    <xdr:ext cx="476250" cy="476250"/>
    <xdr:pic>
      <xdr:nvPicPr>
        <xdr:cNvPr id="0" name="image120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466725" cy="476250"/>
    <xdr:pic>
      <xdr:nvPicPr>
        <xdr:cNvPr id="0" name="image121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1189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476250" cy="476250"/>
    <xdr:pic>
      <xdr:nvPicPr>
        <xdr:cNvPr id="0" name="image126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76250" cy="476250"/>
    <xdr:pic>
      <xdr:nvPicPr>
        <xdr:cNvPr id="0" name="image121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476250" cy="476250"/>
    <xdr:pic>
      <xdr:nvPicPr>
        <xdr:cNvPr id="0" name="image123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</xdr:row>
      <xdr:rowOff>0</xdr:rowOff>
    </xdr:from>
    <xdr:ext cx="476250" cy="476250"/>
    <xdr:pic>
      <xdr:nvPicPr>
        <xdr:cNvPr id="0" name="image120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1145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1085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466725" cy="476250"/>
    <xdr:pic>
      <xdr:nvPicPr>
        <xdr:cNvPr id="0" name="image1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1062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466725" cy="476250"/>
    <xdr:pic>
      <xdr:nvPicPr>
        <xdr:cNvPr id="0" name="image1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12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1132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1094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1094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476250" cy="476250"/>
    <xdr:pic>
      <xdr:nvPicPr>
        <xdr:cNvPr id="0" name="image122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476250" cy="476250"/>
    <xdr:pic>
      <xdr:nvPicPr>
        <xdr:cNvPr id="0" name="image124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76250" cy="476250"/>
    <xdr:pic>
      <xdr:nvPicPr>
        <xdr:cNvPr id="0" name="image1219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476250" cy="476250"/>
    <xdr:pic>
      <xdr:nvPicPr>
        <xdr:cNvPr id="0" name="image123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476250" cy="476250"/>
    <xdr:pic>
      <xdr:nvPicPr>
        <xdr:cNvPr id="0" name="image123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476250" cy="476250"/>
    <xdr:pic>
      <xdr:nvPicPr>
        <xdr:cNvPr id="0" name="image1221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476250" cy="476250"/>
    <xdr:pic>
      <xdr:nvPicPr>
        <xdr:cNvPr id="0" name="image124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1094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476250" cy="476250"/>
    <xdr:pic>
      <xdr:nvPicPr>
        <xdr:cNvPr id="0" name="image126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476250" cy="476250"/>
    <xdr:pic>
      <xdr:nvPicPr>
        <xdr:cNvPr id="0" name="image122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476250" cy="476250"/>
    <xdr:pic>
      <xdr:nvPicPr>
        <xdr:cNvPr id="0" name="image123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476250" cy="476250"/>
    <xdr:pic>
      <xdr:nvPicPr>
        <xdr:cNvPr id="0" name="image120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1140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476250" cy="476250"/>
    <xdr:pic>
      <xdr:nvPicPr>
        <xdr:cNvPr id="0" name="image1244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1136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476250" cy="476250"/>
    <xdr:pic>
      <xdr:nvPicPr>
        <xdr:cNvPr id="0" name="image122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476250" cy="476250"/>
    <xdr:pic>
      <xdr:nvPicPr>
        <xdr:cNvPr id="0" name="image124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76250" cy="476250"/>
    <xdr:pic>
      <xdr:nvPicPr>
        <xdr:cNvPr id="0" name="image122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476250" cy="476250"/>
    <xdr:pic>
      <xdr:nvPicPr>
        <xdr:cNvPr id="0" name="image123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476250" cy="476250"/>
    <xdr:pic>
      <xdr:nvPicPr>
        <xdr:cNvPr id="0" name="image123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</xdr:row>
      <xdr:rowOff>0</xdr:rowOff>
    </xdr:from>
    <xdr:ext cx="476250" cy="476250"/>
    <xdr:pic>
      <xdr:nvPicPr>
        <xdr:cNvPr id="0" name="image1221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</xdr:row>
      <xdr:rowOff>0</xdr:rowOff>
    </xdr:from>
    <xdr:ext cx="476250" cy="476250"/>
    <xdr:pic>
      <xdr:nvPicPr>
        <xdr:cNvPr id="0" name="image123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1188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466725" cy="476250"/>
    <xdr:pic>
      <xdr:nvPicPr>
        <xdr:cNvPr id="0" name="image1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476250" cy="476250"/>
    <xdr:pic>
      <xdr:nvPicPr>
        <xdr:cNvPr id="0" name="image124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1202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476250" cy="476250"/>
    <xdr:pic>
      <xdr:nvPicPr>
        <xdr:cNvPr id="0" name="image124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1202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476250" cy="476250"/>
    <xdr:pic>
      <xdr:nvPicPr>
        <xdr:cNvPr id="0" name="image126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476250" cy="476250"/>
    <xdr:pic>
      <xdr:nvPicPr>
        <xdr:cNvPr id="0" name="image122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476250" cy="476250"/>
    <xdr:pic>
      <xdr:nvPicPr>
        <xdr:cNvPr id="0" name="image123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21</xdr:row>
      <xdr:rowOff>0</xdr:rowOff>
    </xdr:from>
    <xdr:ext cx="476250" cy="476250"/>
    <xdr:pic>
      <xdr:nvPicPr>
        <xdr:cNvPr id="0" name="image120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1087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476250" cy="476250"/>
    <xdr:pic>
      <xdr:nvPicPr>
        <xdr:cNvPr id="0" name="image126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476250" cy="476250"/>
    <xdr:pic>
      <xdr:nvPicPr>
        <xdr:cNvPr id="0" name="image121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476250" cy="476250"/>
    <xdr:pic>
      <xdr:nvPicPr>
        <xdr:cNvPr id="0" name="image123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476250" cy="476250"/>
    <xdr:pic>
      <xdr:nvPicPr>
        <xdr:cNvPr id="0" name="image120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1087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476250" cy="476250"/>
    <xdr:pic>
      <xdr:nvPicPr>
        <xdr:cNvPr id="0" name="image124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476250" cy="476250"/>
    <xdr:pic>
      <xdr:nvPicPr>
        <xdr:cNvPr id="0" name="image124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1074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466725" cy="476250"/>
    <xdr:pic>
      <xdr:nvPicPr>
        <xdr:cNvPr id="0" name="image1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1139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476250" cy="476250"/>
    <xdr:pic>
      <xdr:nvPicPr>
        <xdr:cNvPr id="0" name="image118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1126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466725" cy="476250"/>
    <xdr:pic>
      <xdr:nvPicPr>
        <xdr:cNvPr id="0" name="image1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1048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476250" cy="476250"/>
    <xdr:pic>
      <xdr:nvPicPr>
        <xdr:cNvPr id="0" name="image122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476250" cy="476250"/>
    <xdr:pic>
      <xdr:nvPicPr>
        <xdr:cNvPr id="0" name="image124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476250" cy="476250"/>
    <xdr:pic>
      <xdr:nvPicPr>
        <xdr:cNvPr id="0" name="image123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476250" cy="476250"/>
    <xdr:pic>
      <xdr:nvPicPr>
        <xdr:cNvPr id="0" name="image126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27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476250" cy="476250"/>
    <xdr:pic>
      <xdr:nvPicPr>
        <xdr:cNvPr id="0" name="image1221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476250" cy="476250"/>
    <xdr:pic>
      <xdr:nvPicPr>
        <xdr:cNvPr id="0" name="image124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1048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476250" cy="476250"/>
    <xdr:pic>
      <xdr:nvPicPr>
        <xdr:cNvPr id="0" name="image124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476250" cy="476250"/>
    <xdr:pic>
      <xdr:nvPicPr>
        <xdr:cNvPr id="0" name="image126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1155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476250" cy="476250"/>
    <xdr:pic>
      <xdr:nvPicPr>
        <xdr:cNvPr id="0" name="image122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476250" cy="476250"/>
    <xdr:pic>
      <xdr:nvPicPr>
        <xdr:cNvPr id="0" name="image124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476250" cy="476250"/>
    <xdr:pic>
      <xdr:nvPicPr>
        <xdr:cNvPr id="0" name="image122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476250" cy="476250"/>
    <xdr:pic>
      <xdr:nvPicPr>
        <xdr:cNvPr id="0" name="image123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476250" cy="476250"/>
    <xdr:pic>
      <xdr:nvPicPr>
        <xdr:cNvPr id="0" name="image1219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476250" cy="476250"/>
    <xdr:pic>
      <xdr:nvPicPr>
        <xdr:cNvPr id="0" name="image1221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476250" cy="476250"/>
    <xdr:pic>
      <xdr:nvPicPr>
        <xdr:cNvPr id="0" name="image124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1090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1130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476250" cy="476250"/>
    <xdr:pic>
      <xdr:nvPicPr>
        <xdr:cNvPr id="0" name="image124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476250" cy="476250"/>
    <xdr:pic>
      <xdr:nvPicPr>
        <xdr:cNvPr id="0" name="image124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31</xdr:row>
      <xdr:rowOff>0</xdr:rowOff>
    </xdr:from>
    <xdr:ext cx="476250" cy="476250"/>
    <xdr:pic>
      <xdr:nvPicPr>
        <xdr:cNvPr id="0" name="image125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31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1034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32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1138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476250" cy="476250"/>
    <xdr:pic>
      <xdr:nvPicPr>
        <xdr:cNvPr id="0" name="image1249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476250" cy="476250"/>
    <xdr:pic>
      <xdr:nvPicPr>
        <xdr:cNvPr id="0" name="image122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76250" cy="476250"/>
    <xdr:pic>
      <xdr:nvPicPr>
        <xdr:cNvPr id="0" name="image124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476250" cy="476250"/>
    <xdr:pic>
      <xdr:nvPicPr>
        <xdr:cNvPr id="0" name="image126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33</xdr:row>
      <xdr:rowOff>0</xdr:rowOff>
    </xdr:from>
    <xdr:ext cx="476250" cy="476250"/>
    <xdr:pic>
      <xdr:nvPicPr>
        <xdr:cNvPr id="0" name="image1221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476250" cy="476250"/>
    <xdr:pic>
      <xdr:nvPicPr>
        <xdr:cNvPr id="0" name="image123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1138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34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1138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476250" cy="476250"/>
    <xdr:pic>
      <xdr:nvPicPr>
        <xdr:cNvPr id="0" name="image118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1115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476250" cy="476250"/>
    <xdr:pic>
      <xdr:nvPicPr>
        <xdr:cNvPr id="0" name="image126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476250" cy="476250"/>
    <xdr:pic>
      <xdr:nvPicPr>
        <xdr:cNvPr id="0" name="image1264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476250" cy="476250"/>
    <xdr:pic>
      <xdr:nvPicPr>
        <xdr:cNvPr id="0" name="image122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36</xdr:row>
      <xdr:rowOff>0</xdr:rowOff>
    </xdr:from>
    <xdr:ext cx="476250" cy="476250"/>
    <xdr:pic>
      <xdr:nvPicPr>
        <xdr:cNvPr id="0" name="image120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113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466725" cy="476250"/>
    <xdr:pic>
      <xdr:nvPicPr>
        <xdr:cNvPr id="0" name="image1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476250" cy="476250"/>
    <xdr:pic>
      <xdr:nvPicPr>
        <xdr:cNvPr id="0" name="image126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37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113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466725" cy="476250"/>
    <xdr:pic>
      <xdr:nvPicPr>
        <xdr:cNvPr id="0" name="image117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476250" cy="476250"/>
    <xdr:pic>
      <xdr:nvPicPr>
        <xdr:cNvPr id="0" name="image124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476250" cy="476250"/>
    <xdr:pic>
      <xdr:nvPicPr>
        <xdr:cNvPr id="0" name="image1251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</xdr:row>
      <xdr:rowOff>0</xdr:rowOff>
    </xdr:from>
    <xdr:ext cx="476250" cy="476250"/>
    <xdr:pic>
      <xdr:nvPicPr>
        <xdr:cNvPr id="0" name="image126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1101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476250" cy="476250"/>
    <xdr:pic>
      <xdr:nvPicPr>
        <xdr:cNvPr id="0" name="image118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466725" cy="476250"/>
    <xdr:pic>
      <xdr:nvPicPr>
        <xdr:cNvPr id="0" name="image1265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39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1108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476250" cy="476250"/>
    <xdr:pic>
      <xdr:nvPicPr>
        <xdr:cNvPr id="0" name="image125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476250" cy="476250"/>
    <xdr:pic>
      <xdr:nvPicPr>
        <xdr:cNvPr id="0" name="image1255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476250" cy="476250"/>
    <xdr:pic>
      <xdr:nvPicPr>
        <xdr:cNvPr id="0" name="image127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476250" cy="476250"/>
    <xdr:pic>
      <xdr:nvPicPr>
        <xdr:cNvPr id="0" name="image128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40</xdr:row>
      <xdr:rowOff>0</xdr:rowOff>
    </xdr:from>
    <xdr:ext cx="476250" cy="476250"/>
    <xdr:pic>
      <xdr:nvPicPr>
        <xdr:cNvPr id="0" name="image12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1088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476250" cy="476250"/>
    <xdr:pic>
      <xdr:nvPicPr>
        <xdr:cNvPr id="0" name="image12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476250" cy="476250"/>
    <xdr:pic>
      <xdr:nvPicPr>
        <xdr:cNvPr id="0" name="image1255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476250" cy="476250"/>
    <xdr:pic>
      <xdr:nvPicPr>
        <xdr:cNvPr id="0" name="image125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476250" cy="476250"/>
    <xdr:pic>
      <xdr:nvPicPr>
        <xdr:cNvPr id="0" name="image128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41</xdr:row>
      <xdr:rowOff>0</xdr:rowOff>
    </xdr:from>
    <xdr:ext cx="476250" cy="476250"/>
    <xdr:pic>
      <xdr:nvPicPr>
        <xdr:cNvPr id="0" name="image12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1088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42</xdr:row>
      <xdr:rowOff>0</xdr:rowOff>
    </xdr:from>
    <xdr:ext cx="476250" cy="476250"/>
    <xdr:pic>
      <xdr:nvPicPr>
        <xdr:cNvPr id="0" name="image127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1088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476250" cy="476250"/>
    <xdr:pic>
      <xdr:nvPicPr>
        <xdr:cNvPr id="0" name="image131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476250" cy="476250"/>
    <xdr:pic>
      <xdr:nvPicPr>
        <xdr:cNvPr id="0" name="image127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476250" cy="476250"/>
    <xdr:pic>
      <xdr:nvPicPr>
        <xdr:cNvPr id="0" name="image1279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476250" cy="476250"/>
    <xdr:pic>
      <xdr:nvPicPr>
        <xdr:cNvPr id="0" name="image128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43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43</xdr:row>
      <xdr:rowOff>0</xdr:rowOff>
    </xdr:from>
    <xdr:ext cx="476250" cy="476250"/>
    <xdr:pic>
      <xdr:nvPicPr>
        <xdr:cNvPr id="0" name="image1282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43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</xdr:row>
      <xdr:rowOff>0</xdr:rowOff>
    </xdr:from>
    <xdr:ext cx="476250" cy="476250"/>
    <xdr:pic>
      <xdr:nvPicPr>
        <xdr:cNvPr id="0" name="image1306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1166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44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44</xdr:row>
      <xdr:rowOff>0</xdr:rowOff>
    </xdr:from>
    <xdr:ext cx="476250" cy="476250"/>
    <xdr:pic>
      <xdr:nvPicPr>
        <xdr:cNvPr id="0" name="image1290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44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1153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476250" cy="476250"/>
    <xdr:pic>
      <xdr:nvPicPr>
        <xdr:cNvPr id="0" name="image1289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45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45</xdr:row>
      <xdr:rowOff>0</xdr:rowOff>
    </xdr:from>
    <xdr:ext cx="476250" cy="476250"/>
    <xdr:pic>
      <xdr:nvPicPr>
        <xdr:cNvPr id="0" name="image132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1065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466725" cy="476250"/>
    <xdr:pic>
      <xdr:nvPicPr>
        <xdr:cNvPr id="0" name="image1297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476250" cy="476250"/>
    <xdr:pic>
      <xdr:nvPicPr>
        <xdr:cNvPr id="0" name="image1298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476250" cy="476250"/>
    <xdr:pic>
      <xdr:nvPicPr>
        <xdr:cNvPr id="0" name="image1304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476250" cy="476250"/>
    <xdr:pic>
      <xdr:nvPicPr>
        <xdr:cNvPr id="0" name="image1295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46</xdr:row>
      <xdr:rowOff>0</xdr:rowOff>
    </xdr:from>
    <xdr:ext cx="476250" cy="476250"/>
    <xdr:pic>
      <xdr:nvPicPr>
        <xdr:cNvPr id="0" name="image1294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1154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476250" cy="476250"/>
    <xdr:pic>
      <xdr:nvPicPr>
        <xdr:cNvPr id="0" name="image125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476250" cy="476250"/>
    <xdr:pic>
      <xdr:nvPicPr>
        <xdr:cNvPr id="0" name="image1255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476250" cy="476250"/>
    <xdr:pic>
      <xdr:nvPicPr>
        <xdr:cNvPr id="0" name="image127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47</xdr:row>
      <xdr:rowOff>0</xdr:rowOff>
    </xdr:from>
    <xdr:ext cx="476250" cy="476250"/>
    <xdr:pic>
      <xdr:nvPicPr>
        <xdr:cNvPr id="0" name="image128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47</xdr:row>
      <xdr:rowOff>0</xdr:rowOff>
    </xdr:from>
    <xdr:ext cx="476250" cy="476250"/>
    <xdr:pic>
      <xdr:nvPicPr>
        <xdr:cNvPr id="0" name="image12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1050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466725" cy="476250"/>
    <xdr:pic>
      <xdr:nvPicPr>
        <xdr:cNvPr id="0" name="image1297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</xdr:row>
      <xdr:rowOff>0</xdr:rowOff>
    </xdr:from>
    <xdr:ext cx="476250" cy="476250"/>
    <xdr:pic>
      <xdr:nvPicPr>
        <xdr:cNvPr id="0" name="image1298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48</xdr:row>
      <xdr:rowOff>0</xdr:rowOff>
    </xdr:from>
    <xdr:ext cx="476250" cy="476250"/>
    <xdr:pic>
      <xdr:nvPicPr>
        <xdr:cNvPr id="0" name="image1299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48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48</xdr:row>
      <xdr:rowOff>0</xdr:rowOff>
    </xdr:from>
    <xdr:ext cx="476250" cy="476250"/>
    <xdr:pic>
      <xdr:nvPicPr>
        <xdr:cNvPr id="0" name="image1294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1050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0</xdr:rowOff>
    </xdr:from>
    <xdr:ext cx="476250" cy="476250"/>
    <xdr:pic>
      <xdr:nvPicPr>
        <xdr:cNvPr id="0" name="image1311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476250" cy="476250"/>
    <xdr:pic>
      <xdr:nvPicPr>
        <xdr:cNvPr id="0" name="image1300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49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49</xdr:row>
      <xdr:rowOff>0</xdr:rowOff>
    </xdr:from>
    <xdr:ext cx="476250" cy="476250"/>
    <xdr:pic>
      <xdr:nvPicPr>
        <xdr:cNvPr id="0" name="image1313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49</xdr:row>
      <xdr:rowOff>0</xdr:rowOff>
    </xdr:from>
    <xdr:ext cx="476250" cy="476250"/>
    <xdr:pic>
      <xdr:nvPicPr>
        <xdr:cNvPr id="0" name="image132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1051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50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50</xdr:row>
      <xdr:rowOff>0</xdr:rowOff>
    </xdr:from>
    <xdr:ext cx="476250" cy="476250"/>
    <xdr:pic>
      <xdr:nvPicPr>
        <xdr:cNvPr id="0" name="image127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1124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476250" cy="476250"/>
    <xdr:pic>
      <xdr:nvPicPr>
        <xdr:cNvPr id="0" name="image131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476250" cy="476250"/>
    <xdr:pic>
      <xdr:nvPicPr>
        <xdr:cNvPr id="0" name="image1332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476250" cy="476250"/>
    <xdr:pic>
      <xdr:nvPicPr>
        <xdr:cNvPr id="0" name="image127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0</xdr:rowOff>
    </xdr:from>
    <xdr:ext cx="476250" cy="476250"/>
    <xdr:pic>
      <xdr:nvPicPr>
        <xdr:cNvPr id="0" name="image1307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476250" cy="476250"/>
    <xdr:pic>
      <xdr:nvPicPr>
        <xdr:cNvPr id="0" name="image130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51</xdr:row>
      <xdr:rowOff>0</xdr:rowOff>
    </xdr:from>
    <xdr:ext cx="476250" cy="476250"/>
    <xdr:pic>
      <xdr:nvPicPr>
        <xdr:cNvPr id="0" name="image1310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</xdr:row>
      <xdr:rowOff>0</xdr:rowOff>
    </xdr:from>
    <xdr:ext cx="476250" cy="476250"/>
    <xdr:pic>
      <xdr:nvPicPr>
        <xdr:cNvPr id="0" name="image132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51</xdr:row>
      <xdr:rowOff>0</xdr:rowOff>
    </xdr:from>
    <xdr:ext cx="476250" cy="476250"/>
    <xdr:pic>
      <xdr:nvPicPr>
        <xdr:cNvPr id="0" name="image1282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476250" cy="476250"/>
    <xdr:pic>
      <xdr:nvPicPr>
        <xdr:cNvPr id="0" name="image1306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1092.jp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476250" cy="476250"/>
    <xdr:pic>
      <xdr:nvPicPr>
        <xdr:cNvPr id="0" name="image1322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0</xdr:rowOff>
    </xdr:from>
    <xdr:ext cx="476250" cy="476250"/>
    <xdr:pic>
      <xdr:nvPicPr>
        <xdr:cNvPr id="0" name="image1311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476250" cy="476250"/>
    <xdr:pic>
      <xdr:nvPicPr>
        <xdr:cNvPr id="0" name="image1300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52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52</xdr:row>
      <xdr:rowOff>0</xdr:rowOff>
    </xdr:from>
    <xdr:ext cx="476250" cy="476250"/>
    <xdr:pic>
      <xdr:nvPicPr>
        <xdr:cNvPr id="0" name="image132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1103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53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53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53</xdr:row>
      <xdr:rowOff>0</xdr:rowOff>
    </xdr:from>
    <xdr:ext cx="476250" cy="476250"/>
    <xdr:pic>
      <xdr:nvPicPr>
        <xdr:cNvPr id="0" name="image127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476250" cy="476250"/>
    <xdr:pic>
      <xdr:nvPicPr>
        <xdr:cNvPr id="0" name="image1068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476250" cy="476250"/>
    <xdr:pic>
      <xdr:nvPicPr>
        <xdr:cNvPr id="0" name="image1362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</xdr:row>
      <xdr:rowOff>0</xdr:rowOff>
    </xdr:from>
    <xdr:ext cx="476250" cy="476250"/>
    <xdr:pic>
      <xdr:nvPicPr>
        <xdr:cNvPr id="0" name="image1298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476250" cy="476250"/>
    <xdr:pic>
      <xdr:nvPicPr>
        <xdr:cNvPr id="0" name="image124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476250" cy="476250"/>
    <xdr:pic>
      <xdr:nvPicPr>
        <xdr:cNvPr id="0" name="image1316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54</xdr:row>
      <xdr:rowOff>0</xdr:rowOff>
    </xdr:from>
    <xdr:ext cx="476250" cy="476250"/>
    <xdr:pic>
      <xdr:nvPicPr>
        <xdr:cNvPr id="0" name="image131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54</xdr:row>
      <xdr:rowOff>0</xdr:rowOff>
    </xdr:from>
    <xdr:ext cx="476250" cy="476250"/>
    <xdr:pic>
      <xdr:nvPicPr>
        <xdr:cNvPr id="0" name="image1294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54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476250" cy="476250"/>
    <xdr:pic>
      <xdr:nvPicPr>
        <xdr:cNvPr id="0" name="image1125.jp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55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55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55</xdr:row>
      <xdr:rowOff>0</xdr:rowOff>
    </xdr:from>
    <xdr:ext cx="476250" cy="476250"/>
    <xdr:pic>
      <xdr:nvPicPr>
        <xdr:cNvPr id="0" name="image127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55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476250" cy="476250"/>
    <xdr:pic>
      <xdr:nvPicPr>
        <xdr:cNvPr id="0" name="image1041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466725" cy="476250"/>
    <xdr:pic>
      <xdr:nvPicPr>
        <xdr:cNvPr id="0" name="image1297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56</xdr:row>
      <xdr:rowOff>0</xdr:rowOff>
    </xdr:from>
    <xdr:ext cx="476250" cy="476250"/>
    <xdr:pic>
      <xdr:nvPicPr>
        <xdr:cNvPr id="0" name="image1298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56</xdr:row>
      <xdr:rowOff>0</xdr:rowOff>
    </xdr:from>
    <xdr:ext cx="476250" cy="476250"/>
    <xdr:pic>
      <xdr:nvPicPr>
        <xdr:cNvPr id="0" name="image1299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56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56</xdr:row>
      <xdr:rowOff>0</xdr:rowOff>
    </xdr:from>
    <xdr:ext cx="476250" cy="476250"/>
    <xdr:pic>
      <xdr:nvPicPr>
        <xdr:cNvPr id="0" name="image1334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56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76250" cy="476250"/>
    <xdr:pic>
      <xdr:nvPicPr>
        <xdr:cNvPr id="0" name="image1041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</xdr:row>
      <xdr:rowOff>0</xdr:rowOff>
    </xdr:from>
    <xdr:ext cx="476250" cy="476250"/>
    <xdr:pic>
      <xdr:nvPicPr>
        <xdr:cNvPr id="0" name="image1315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476250" cy="476250"/>
    <xdr:pic>
      <xdr:nvPicPr>
        <xdr:cNvPr id="0" name="image131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57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57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57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57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76250" cy="476250"/>
    <xdr:pic>
      <xdr:nvPicPr>
        <xdr:cNvPr id="0" name="image1121.jp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476250" cy="476250"/>
    <xdr:pic>
      <xdr:nvPicPr>
        <xdr:cNvPr id="0" name="image131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476250" cy="476250"/>
    <xdr:pic>
      <xdr:nvPicPr>
        <xdr:cNvPr id="0" name="image1323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476250" cy="476250"/>
    <xdr:pic>
      <xdr:nvPicPr>
        <xdr:cNvPr id="0" name="image127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58</xdr:row>
      <xdr:rowOff>0</xdr:rowOff>
    </xdr:from>
    <xdr:ext cx="476250" cy="476250"/>
    <xdr:pic>
      <xdr:nvPicPr>
        <xdr:cNvPr id="0" name="image1317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58</xdr:row>
      <xdr:rowOff>0</xdr:rowOff>
    </xdr:from>
    <xdr:ext cx="476250" cy="476250"/>
    <xdr:pic>
      <xdr:nvPicPr>
        <xdr:cNvPr id="0" name="image1282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58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58</xdr:row>
      <xdr:rowOff>0</xdr:rowOff>
    </xdr:from>
    <xdr:ext cx="476250" cy="476250"/>
    <xdr:pic>
      <xdr:nvPicPr>
        <xdr:cNvPr id="0" name="image1306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76250" cy="476250"/>
    <xdr:pic>
      <xdr:nvPicPr>
        <xdr:cNvPr id="0" name="image1081.jp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476250" cy="476250"/>
    <xdr:pic>
      <xdr:nvPicPr>
        <xdr:cNvPr id="0" name="image131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476250" cy="476250"/>
    <xdr:pic>
      <xdr:nvPicPr>
        <xdr:cNvPr id="0" name="image1323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476250" cy="476250"/>
    <xdr:pic>
      <xdr:nvPicPr>
        <xdr:cNvPr id="0" name="image127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476250" cy="476250"/>
    <xdr:pic>
      <xdr:nvPicPr>
        <xdr:cNvPr id="0" name="image130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476250" cy="476250"/>
    <xdr:pic>
      <xdr:nvPicPr>
        <xdr:cNvPr id="0" name="image131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476250" cy="476250"/>
    <xdr:pic>
      <xdr:nvPicPr>
        <xdr:cNvPr id="0" name="image1307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59</xdr:row>
      <xdr:rowOff>0</xdr:rowOff>
    </xdr:from>
    <xdr:ext cx="476250" cy="476250"/>
    <xdr:pic>
      <xdr:nvPicPr>
        <xdr:cNvPr id="0" name="image1282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59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59</xdr:row>
      <xdr:rowOff>0</xdr:rowOff>
    </xdr:from>
    <xdr:ext cx="476250" cy="476250"/>
    <xdr:pic>
      <xdr:nvPicPr>
        <xdr:cNvPr id="0" name="image1306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76250" cy="476250"/>
    <xdr:pic>
      <xdr:nvPicPr>
        <xdr:cNvPr id="0" name="image1160.jp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60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60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60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60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76250" cy="476250"/>
    <xdr:pic>
      <xdr:nvPicPr>
        <xdr:cNvPr id="0" name="image1207.jp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61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61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61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61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476250" cy="476250"/>
    <xdr:pic>
      <xdr:nvPicPr>
        <xdr:cNvPr id="0" name="image1129.jp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62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62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62</xdr:row>
      <xdr:rowOff>0</xdr:rowOff>
    </xdr:from>
    <xdr:ext cx="476250" cy="476250"/>
    <xdr:pic>
      <xdr:nvPicPr>
        <xdr:cNvPr id="0" name="image127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62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76250" cy="476250"/>
    <xdr:pic>
      <xdr:nvPicPr>
        <xdr:cNvPr id="0" name="image1084.jp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63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476250" cy="476250"/>
    <xdr:pic>
      <xdr:nvPicPr>
        <xdr:cNvPr id="0" name="image13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63</xdr:row>
      <xdr:rowOff>0</xdr:rowOff>
    </xdr:from>
    <xdr:ext cx="476250" cy="476250"/>
    <xdr:pic>
      <xdr:nvPicPr>
        <xdr:cNvPr id="0" name="image13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63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63</xdr:row>
      <xdr:rowOff>0</xdr:rowOff>
    </xdr:from>
    <xdr:ext cx="476250" cy="476250"/>
    <xdr:pic>
      <xdr:nvPicPr>
        <xdr:cNvPr id="0" name="image132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63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476250" cy="476250"/>
    <xdr:pic>
      <xdr:nvPicPr>
        <xdr:cNvPr id="0" name="image1111.jp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64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476250" cy="476250"/>
    <xdr:pic>
      <xdr:nvPicPr>
        <xdr:cNvPr id="0" name="image13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476250" cy="476250"/>
    <xdr:pic>
      <xdr:nvPicPr>
        <xdr:cNvPr id="0" name="image13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64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64</xdr:row>
      <xdr:rowOff>0</xdr:rowOff>
    </xdr:from>
    <xdr:ext cx="476250" cy="476250"/>
    <xdr:pic>
      <xdr:nvPicPr>
        <xdr:cNvPr id="0" name="image1326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64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76250" cy="476250"/>
    <xdr:pic>
      <xdr:nvPicPr>
        <xdr:cNvPr id="0" name="image1086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65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65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65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65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65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476250" cy="476250"/>
    <xdr:pic>
      <xdr:nvPicPr>
        <xdr:cNvPr id="0" name="image1134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466725" cy="476250"/>
    <xdr:pic>
      <xdr:nvPicPr>
        <xdr:cNvPr id="0" name="image1297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476250" cy="476250"/>
    <xdr:pic>
      <xdr:nvPicPr>
        <xdr:cNvPr id="0" name="image1298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66</xdr:row>
      <xdr:rowOff>0</xdr:rowOff>
    </xdr:from>
    <xdr:ext cx="476250" cy="476250"/>
    <xdr:pic>
      <xdr:nvPicPr>
        <xdr:cNvPr id="0" name="image1304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66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66</xdr:row>
      <xdr:rowOff>0</xdr:rowOff>
    </xdr:from>
    <xdr:ext cx="476250" cy="476250"/>
    <xdr:pic>
      <xdr:nvPicPr>
        <xdr:cNvPr id="0" name="image1334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66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476250" cy="476250"/>
    <xdr:pic>
      <xdr:nvPicPr>
        <xdr:cNvPr id="0" name="image1157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466725" cy="476250"/>
    <xdr:pic>
      <xdr:nvPicPr>
        <xdr:cNvPr id="0" name="image1297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476250" cy="476250"/>
    <xdr:pic>
      <xdr:nvPicPr>
        <xdr:cNvPr id="0" name="image1298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67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67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67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67</xdr:row>
      <xdr:rowOff>0</xdr:rowOff>
    </xdr:from>
    <xdr:ext cx="476250" cy="476250"/>
    <xdr:pic>
      <xdr:nvPicPr>
        <xdr:cNvPr id="0" name="image1294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67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76250" cy="476250"/>
    <xdr:pic>
      <xdr:nvPicPr>
        <xdr:cNvPr id="0" name="image1157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68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476250" cy="476250"/>
    <xdr:pic>
      <xdr:nvPicPr>
        <xdr:cNvPr id="0" name="image1315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68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68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68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68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76250" cy="476250"/>
    <xdr:pic>
      <xdr:nvPicPr>
        <xdr:cNvPr id="0" name="image1063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466725" cy="476250"/>
    <xdr:pic>
      <xdr:nvPicPr>
        <xdr:cNvPr id="0" name="image1383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476250" cy="476250"/>
    <xdr:pic>
      <xdr:nvPicPr>
        <xdr:cNvPr id="0" name="image1315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476250" cy="476250"/>
    <xdr:pic>
      <xdr:nvPicPr>
        <xdr:cNvPr id="0" name="image133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476250" cy="476250"/>
    <xdr:pic>
      <xdr:nvPicPr>
        <xdr:cNvPr id="0" name="image13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69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69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69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69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476250" cy="476250"/>
    <xdr:pic>
      <xdr:nvPicPr>
        <xdr:cNvPr id="0" name="image1093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476250" cy="476250"/>
    <xdr:pic>
      <xdr:nvPicPr>
        <xdr:cNvPr id="0" name="image1311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476250" cy="476250"/>
    <xdr:pic>
      <xdr:nvPicPr>
        <xdr:cNvPr id="0" name="image1300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70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70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70</xdr:row>
      <xdr:rowOff>0</xdr:rowOff>
    </xdr:from>
    <xdr:ext cx="476250" cy="476250"/>
    <xdr:pic>
      <xdr:nvPicPr>
        <xdr:cNvPr id="0" name="image132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70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476250" cy="476250"/>
    <xdr:pic>
      <xdr:nvPicPr>
        <xdr:cNvPr id="0" name="image1096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71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71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71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71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476250" cy="476250"/>
    <xdr:pic>
      <xdr:nvPicPr>
        <xdr:cNvPr id="0" name="image1096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476250" cy="476250"/>
    <xdr:pic>
      <xdr:nvPicPr>
        <xdr:cNvPr id="0" name="image1330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476250" cy="476250"/>
    <xdr:pic>
      <xdr:nvPicPr>
        <xdr:cNvPr id="0" name="image12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72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72</xdr:row>
      <xdr:rowOff>0</xdr:rowOff>
    </xdr:from>
    <xdr:ext cx="476250" cy="476250"/>
    <xdr:pic>
      <xdr:nvPicPr>
        <xdr:cNvPr id="0" name="image124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72</xdr:row>
      <xdr:rowOff>0</xdr:rowOff>
    </xdr:from>
    <xdr:ext cx="476250" cy="476250"/>
    <xdr:pic>
      <xdr:nvPicPr>
        <xdr:cNvPr id="0" name="image12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72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476250" cy="476250"/>
    <xdr:pic>
      <xdr:nvPicPr>
        <xdr:cNvPr id="0" name="image1096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476250" cy="476250"/>
    <xdr:pic>
      <xdr:nvPicPr>
        <xdr:cNvPr id="0" name="image13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73</xdr:row>
      <xdr:rowOff>0</xdr:rowOff>
    </xdr:from>
    <xdr:ext cx="476250" cy="476250"/>
    <xdr:pic>
      <xdr:nvPicPr>
        <xdr:cNvPr id="0" name="image13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73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73</xdr:row>
      <xdr:rowOff>0</xdr:rowOff>
    </xdr:from>
    <xdr:ext cx="476250" cy="476250"/>
    <xdr:pic>
      <xdr:nvPicPr>
        <xdr:cNvPr id="0" name="image132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73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476250" cy="476250"/>
    <xdr:pic>
      <xdr:nvPicPr>
        <xdr:cNvPr id="0" name="image1027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476250" cy="476250"/>
    <xdr:pic>
      <xdr:nvPicPr>
        <xdr:cNvPr id="0" name="image1330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476250" cy="476250"/>
    <xdr:pic>
      <xdr:nvPicPr>
        <xdr:cNvPr id="0" name="image12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74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74</xdr:row>
      <xdr:rowOff>0</xdr:rowOff>
    </xdr:from>
    <xdr:ext cx="476250" cy="476250"/>
    <xdr:pic>
      <xdr:nvPicPr>
        <xdr:cNvPr id="0" name="image124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74</xdr:row>
      <xdr:rowOff>0</xdr:rowOff>
    </xdr:from>
    <xdr:ext cx="476250" cy="476250"/>
    <xdr:pic>
      <xdr:nvPicPr>
        <xdr:cNvPr id="0" name="image12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74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76250" cy="476250"/>
    <xdr:pic>
      <xdr:nvPicPr>
        <xdr:cNvPr id="0" name="image1027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75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75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75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75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76250" cy="476250"/>
    <xdr:pic>
      <xdr:nvPicPr>
        <xdr:cNvPr id="0" name="image1027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476250" cy="476250"/>
    <xdr:pic>
      <xdr:nvPicPr>
        <xdr:cNvPr id="0" name="image131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76</xdr:row>
      <xdr:rowOff>0</xdr:rowOff>
    </xdr:from>
    <xdr:ext cx="476250" cy="476250"/>
    <xdr:pic>
      <xdr:nvPicPr>
        <xdr:cNvPr id="0" name="image1323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476250" cy="476250"/>
    <xdr:pic>
      <xdr:nvPicPr>
        <xdr:cNvPr id="0" name="image127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76</xdr:row>
      <xdr:rowOff>0</xdr:rowOff>
    </xdr:from>
    <xdr:ext cx="476250" cy="476250"/>
    <xdr:pic>
      <xdr:nvPicPr>
        <xdr:cNvPr id="0" name="image1333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76</xdr:row>
      <xdr:rowOff>0</xdr:rowOff>
    </xdr:from>
    <xdr:ext cx="476250" cy="476250"/>
    <xdr:pic>
      <xdr:nvPicPr>
        <xdr:cNvPr id="0" name="image1282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76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76</xdr:row>
      <xdr:rowOff>0</xdr:rowOff>
    </xdr:from>
    <xdr:ext cx="476250" cy="476250"/>
    <xdr:pic>
      <xdr:nvPicPr>
        <xdr:cNvPr id="0" name="image1306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476250" cy="476250"/>
    <xdr:pic>
      <xdr:nvPicPr>
        <xdr:cNvPr id="0" name="image1026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77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476250" cy="476250"/>
    <xdr:pic>
      <xdr:nvPicPr>
        <xdr:cNvPr id="0" name="image1330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476250" cy="476250"/>
    <xdr:pic>
      <xdr:nvPicPr>
        <xdr:cNvPr id="0" name="image12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77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77</xdr:row>
      <xdr:rowOff>0</xdr:rowOff>
    </xdr:from>
    <xdr:ext cx="476250" cy="476250"/>
    <xdr:pic>
      <xdr:nvPicPr>
        <xdr:cNvPr id="0" name="image124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77</xdr:row>
      <xdr:rowOff>0</xdr:rowOff>
    </xdr:from>
    <xdr:ext cx="476250" cy="476250"/>
    <xdr:pic>
      <xdr:nvPicPr>
        <xdr:cNvPr id="0" name="image12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76250" cy="476250"/>
    <xdr:pic>
      <xdr:nvPicPr>
        <xdr:cNvPr id="0" name="image1026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476250" cy="476250"/>
    <xdr:pic>
      <xdr:nvPicPr>
        <xdr:cNvPr id="0" name="image130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78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78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78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476250" cy="476250"/>
    <xdr:pic>
      <xdr:nvPicPr>
        <xdr:cNvPr id="0" name="image1072.jp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79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79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79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79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76250" cy="476250"/>
    <xdr:pic>
      <xdr:nvPicPr>
        <xdr:cNvPr id="0" name="image1133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80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476250" cy="476250"/>
    <xdr:pic>
      <xdr:nvPicPr>
        <xdr:cNvPr id="0" name="image1330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476250" cy="476250"/>
    <xdr:pic>
      <xdr:nvPicPr>
        <xdr:cNvPr id="0" name="image12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80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80</xdr:row>
      <xdr:rowOff>0</xdr:rowOff>
    </xdr:from>
    <xdr:ext cx="476250" cy="476250"/>
    <xdr:pic>
      <xdr:nvPicPr>
        <xdr:cNvPr id="0" name="image124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80</xdr:row>
      <xdr:rowOff>0</xdr:rowOff>
    </xdr:from>
    <xdr:ext cx="476250" cy="476250"/>
    <xdr:pic>
      <xdr:nvPicPr>
        <xdr:cNvPr id="0" name="image12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476250" cy="476250"/>
    <xdr:pic>
      <xdr:nvPicPr>
        <xdr:cNvPr id="0" name="image1133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476250" cy="476250"/>
    <xdr:pic>
      <xdr:nvPicPr>
        <xdr:cNvPr id="0" name="image132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81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81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81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476250" cy="476250"/>
    <xdr:pic>
      <xdr:nvPicPr>
        <xdr:cNvPr id="0" name="image1059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476250" cy="476250"/>
    <xdr:pic>
      <xdr:nvPicPr>
        <xdr:cNvPr id="0" name="image133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82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82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82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76250" cy="476250"/>
    <xdr:pic>
      <xdr:nvPicPr>
        <xdr:cNvPr id="0" name="image1059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83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83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83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83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83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476250" cy="476250"/>
    <xdr:pic>
      <xdr:nvPicPr>
        <xdr:cNvPr id="0" name="image1345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476250" cy="476250"/>
    <xdr:pic>
      <xdr:nvPicPr>
        <xdr:cNvPr id="0" name="image1100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84</xdr:row>
      <xdr:rowOff>0</xdr:rowOff>
    </xdr:from>
    <xdr:ext cx="476250" cy="476250"/>
    <xdr:pic>
      <xdr:nvPicPr>
        <xdr:cNvPr id="0" name="image133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84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476250" cy="476250"/>
    <xdr:pic>
      <xdr:nvPicPr>
        <xdr:cNvPr id="0" name="image13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84</xdr:row>
      <xdr:rowOff>0</xdr:rowOff>
    </xdr:from>
    <xdr:ext cx="476250" cy="476250"/>
    <xdr:pic>
      <xdr:nvPicPr>
        <xdr:cNvPr id="0" name="image134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84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84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84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476250" cy="476250"/>
    <xdr:pic>
      <xdr:nvPicPr>
        <xdr:cNvPr id="0" name="image1080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476250" cy="476250"/>
    <xdr:pic>
      <xdr:nvPicPr>
        <xdr:cNvPr id="0" name="image1432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85</xdr:row>
      <xdr:rowOff>0</xdr:rowOff>
    </xdr:from>
    <xdr:ext cx="476250" cy="476250"/>
    <xdr:pic>
      <xdr:nvPicPr>
        <xdr:cNvPr id="0" name="image1349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476250" cy="476250"/>
    <xdr:pic>
      <xdr:nvPicPr>
        <xdr:cNvPr id="0" name="image1408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0</xdr:rowOff>
    </xdr:from>
    <xdr:ext cx="476250" cy="476250"/>
    <xdr:pic>
      <xdr:nvPicPr>
        <xdr:cNvPr id="0" name="image1310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476250" cy="476250"/>
    <xdr:pic>
      <xdr:nvPicPr>
        <xdr:cNvPr id="0" name="image1307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85</xdr:row>
      <xdr:rowOff>0</xdr:rowOff>
    </xdr:from>
    <xdr:ext cx="476250" cy="476250"/>
    <xdr:pic>
      <xdr:nvPicPr>
        <xdr:cNvPr id="0" name="image130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85</xdr:row>
      <xdr:rowOff>0</xdr:rowOff>
    </xdr:from>
    <xdr:ext cx="476250" cy="476250"/>
    <xdr:pic>
      <xdr:nvPicPr>
        <xdr:cNvPr id="0" name="image134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85</xdr:row>
      <xdr:rowOff>0</xdr:rowOff>
    </xdr:from>
    <xdr:ext cx="476250" cy="476250"/>
    <xdr:pic>
      <xdr:nvPicPr>
        <xdr:cNvPr id="0" name="image1368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85</xdr:row>
      <xdr:rowOff>0</xdr:rowOff>
    </xdr:from>
    <xdr:ext cx="476250" cy="476250"/>
    <xdr:pic>
      <xdr:nvPicPr>
        <xdr:cNvPr id="0" name="image1351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476250" cy="476250"/>
    <xdr:pic>
      <xdr:nvPicPr>
        <xdr:cNvPr id="0" name="image1073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86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86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86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86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86</xdr:row>
      <xdr:rowOff>0</xdr:rowOff>
    </xdr:from>
    <xdr:ext cx="476250" cy="476250"/>
    <xdr:pic>
      <xdr:nvPicPr>
        <xdr:cNvPr id="0" name="image1347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76250" cy="476250"/>
    <xdr:pic>
      <xdr:nvPicPr>
        <xdr:cNvPr id="0" name="image1098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87</xdr:row>
      <xdr:rowOff>0</xdr:rowOff>
    </xdr:from>
    <xdr:ext cx="476250" cy="476250"/>
    <xdr:pic>
      <xdr:nvPicPr>
        <xdr:cNvPr id="0" name="image133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87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87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87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87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76250" cy="476250"/>
    <xdr:pic>
      <xdr:nvPicPr>
        <xdr:cNvPr id="0" name="image1038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88</xdr:row>
      <xdr:rowOff>0</xdr:rowOff>
    </xdr:from>
    <xdr:ext cx="476250" cy="476250"/>
    <xdr:pic>
      <xdr:nvPicPr>
        <xdr:cNvPr id="0" name="image14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88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88</xdr:row>
      <xdr:rowOff>0</xdr:rowOff>
    </xdr:from>
    <xdr:ext cx="476250" cy="476250"/>
    <xdr:pic>
      <xdr:nvPicPr>
        <xdr:cNvPr id="0" name="image1353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88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88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476250" cy="476250"/>
    <xdr:pic>
      <xdr:nvPicPr>
        <xdr:cNvPr id="0" name="image1159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89</xdr:row>
      <xdr:rowOff>0</xdr:rowOff>
    </xdr:from>
    <xdr:ext cx="476250" cy="476250"/>
    <xdr:pic>
      <xdr:nvPicPr>
        <xdr:cNvPr id="0" name="image133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476250" cy="476250"/>
    <xdr:pic>
      <xdr:nvPicPr>
        <xdr:cNvPr id="0" name="image134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</xdr:row>
      <xdr:rowOff>0</xdr:rowOff>
    </xdr:from>
    <xdr:ext cx="476250" cy="476250"/>
    <xdr:pic>
      <xdr:nvPicPr>
        <xdr:cNvPr id="0" name="image1348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89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89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89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89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76250" cy="476250"/>
    <xdr:pic>
      <xdr:nvPicPr>
        <xdr:cNvPr id="0" name="image1150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476250" cy="476250"/>
    <xdr:pic>
      <xdr:nvPicPr>
        <xdr:cNvPr id="0" name="image1435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90</xdr:row>
      <xdr:rowOff>0</xdr:rowOff>
    </xdr:from>
    <xdr:ext cx="476250" cy="476250"/>
    <xdr:pic>
      <xdr:nvPicPr>
        <xdr:cNvPr id="0" name="image1356.pn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476250" cy="476250"/>
    <xdr:pic>
      <xdr:nvPicPr>
        <xdr:cNvPr id="0" name="image1360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476250" cy="476250"/>
    <xdr:pic>
      <xdr:nvPicPr>
        <xdr:cNvPr id="0" name="image124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90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90</xdr:row>
      <xdr:rowOff>0</xdr:rowOff>
    </xdr:from>
    <xdr:ext cx="476250" cy="476250"/>
    <xdr:pic>
      <xdr:nvPicPr>
        <xdr:cNvPr id="0" name="image1346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90</xdr:row>
      <xdr:rowOff>0</xdr:rowOff>
    </xdr:from>
    <xdr:ext cx="476250" cy="476250"/>
    <xdr:pic>
      <xdr:nvPicPr>
        <xdr:cNvPr id="0" name="image1352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90</xdr:row>
      <xdr:rowOff>0</xdr:rowOff>
    </xdr:from>
    <xdr:ext cx="476250" cy="476250"/>
    <xdr:pic>
      <xdr:nvPicPr>
        <xdr:cNvPr id="0" name="image1365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76250" cy="476250"/>
    <xdr:pic>
      <xdr:nvPicPr>
        <xdr:cNvPr id="0" name="image1060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91</xdr:row>
      <xdr:rowOff>0</xdr:rowOff>
    </xdr:from>
    <xdr:ext cx="476250" cy="476250"/>
    <xdr:pic>
      <xdr:nvPicPr>
        <xdr:cNvPr id="0" name="image1363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</xdr:row>
      <xdr:rowOff>0</xdr:rowOff>
    </xdr:from>
    <xdr:ext cx="476250" cy="476250"/>
    <xdr:pic>
      <xdr:nvPicPr>
        <xdr:cNvPr id="0" name="image1348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476250" cy="476250"/>
    <xdr:pic>
      <xdr:nvPicPr>
        <xdr:cNvPr id="0" name="image13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91</xdr:row>
      <xdr:rowOff>0</xdr:rowOff>
    </xdr:from>
    <xdr:ext cx="476250" cy="476250"/>
    <xdr:pic>
      <xdr:nvPicPr>
        <xdr:cNvPr id="0" name="image135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91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91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91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76250" cy="476250"/>
    <xdr:pic>
      <xdr:nvPicPr>
        <xdr:cNvPr id="0" name="image1091.jp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476250" cy="476250"/>
    <xdr:pic>
      <xdr:nvPicPr>
        <xdr:cNvPr id="0" name="image1435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92</xdr:row>
      <xdr:rowOff>0</xdr:rowOff>
    </xdr:from>
    <xdr:ext cx="476250" cy="476250"/>
    <xdr:pic>
      <xdr:nvPicPr>
        <xdr:cNvPr id="0" name="image1361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476250" cy="476250"/>
    <xdr:pic>
      <xdr:nvPicPr>
        <xdr:cNvPr id="0" name="image1359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476250" cy="476250"/>
    <xdr:pic>
      <xdr:nvPicPr>
        <xdr:cNvPr id="0" name="image1299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92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92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92</xdr:row>
      <xdr:rowOff>0</xdr:rowOff>
    </xdr:from>
    <xdr:ext cx="476250" cy="476250"/>
    <xdr:pic>
      <xdr:nvPicPr>
        <xdr:cNvPr id="0" name="image1352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92</xdr:row>
      <xdr:rowOff>0</xdr:rowOff>
    </xdr:from>
    <xdr:ext cx="476250" cy="476250"/>
    <xdr:pic>
      <xdr:nvPicPr>
        <xdr:cNvPr id="0" name="image1365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76250" cy="476250"/>
    <xdr:pic>
      <xdr:nvPicPr>
        <xdr:cNvPr id="0" name="image1122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476250" cy="476250"/>
    <xdr:pic>
      <xdr:nvPicPr>
        <xdr:cNvPr id="0" name="image1426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93</xdr:row>
      <xdr:rowOff>0</xdr:rowOff>
    </xdr:from>
    <xdr:ext cx="476250" cy="476250"/>
    <xdr:pic>
      <xdr:nvPicPr>
        <xdr:cNvPr id="0" name="image14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93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93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93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93</xdr:row>
      <xdr:rowOff>0</xdr:rowOff>
    </xdr:from>
    <xdr:ext cx="476250" cy="476250"/>
    <xdr:pic>
      <xdr:nvPicPr>
        <xdr:cNvPr id="0" name="image1354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93</xdr:row>
      <xdr:rowOff>0</xdr:rowOff>
    </xdr:from>
    <xdr:ext cx="476250" cy="476250"/>
    <xdr:pic>
      <xdr:nvPicPr>
        <xdr:cNvPr id="0" name="image1345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476250" cy="476250"/>
    <xdr:pic>
      <xdr:nvPicPr>
        <xdr:cNvPr id="0" name="image1054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476250" cy="476250"/>
    <xdr:pic>
      <xdr:nvPicPr>
        <xdr:cNvPr id="0" name="image1435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94</xdr:row>
      <xdr:rowOff>0</xdr:rowOff>
    </xdr:from>
    <xdr:ext cx="476250" cy="476250"/>
    <xdr:pic>
      <xdr:nvPicPr>
        <xdr:cNvPr id="0" name="image1361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476250" cy="476250"/>
    <xdr:pic>
      <xdr:nvPicPr>
        <xdr:cNvPr id="0" name="image1359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94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94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94</xdr:row>
      <xdr:rowOff>0</xdr:rowOff>
    </xdr:from>
    <xdr:ext cx="476250" cy="476250"/>
    <xdr:pic>
      <xdr:nvPicPr>
        <xdr:cNvPr id="0" name="image1352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476250" cy="476250"/>
    <xdr:pic>
      <xdr:nvPicPr>
        <xdr:cNvPr id="0" name="image1365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476250" cy="476250"/>
    <xdr:pic>
      <xdr:nvPicPr>
        <xdr:cNvPr id="0" name="image1077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95</xdr:row>
      <xdr:rowOff>0</xdr:rowOff>
    </xdr:from>
    <xdr:ext cx="476250" cy="476250"/>
    <xdr:pic>
      <xdr:nvPicPr>
        <xdr:cNvPr id="0" name="image1363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95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95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476250" cy="476250"/>
    <xdr:pic>
      <xdr:nvPicPr>
        <xdr:cNvPr id="0" name="image1099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466725" cy="476250"/>
    <xdr:pic>
      <xdr:nvPicPr>
        <xdr:cNvPr id="0" name="image1372.pn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96</xdr:row>
      <xdr:rowOff>0</xdr:rowOff>
    </xdr:from>
    <xdr:ext cx="476250" cy="476250"/>
    <xdr:pic>
      <xdr:nvPicPr>
        <xdr:cNvPr id="0" name="image1361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96</xdr:row>
      <xdr:rowOff>0</xdr:rowOff>
    </xdr:from>
    <xdr:ext cx="476250" cy="476250"/>
    <xdr:pic>
      <xdr:nvPicPr>
        <xdr:cNvPr id="0" name="image1359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476250" cy="476250"/>
    <xdr:pic>
      <xdr:nvPicPr>
        <xdr:cNvPr id="0" name="image124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96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96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96</xdr:row>
      <xdr:rowOff>0</xdr:rowOff>
    </xdr:from>
    <xdr:ext cx="476250" cy="476250"/>
    <xdr:pic>
      <xdr:nvPicPr>
        <xdr:cNvPr id="0" name="image1352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96</xdr:row>
      <xdr:rowOff>0</xdr:rowOff>
    </xdr:from>
    <xdr:ext cx="476250" cy="476250"/>
    <xdr:pic>
      <xdr:nvPicPr>
        <xdr:cNvPr id="0" name="image1365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476250" cy="476250"/>
    <xdr:pic>
      <xdr:nvPicPr>
        <xdr:cNvPr id="0" name="image1127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476250" cy="476250"/>
    <xdr:pic>
      <xdr:nvPicPr>
        <xdr:cNvPr id="0" name="image1435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476250" cy="476250"/>
    <xdr:pic>
      <xdr:nvPicPr>
        <xdr:cNvPr id="0" name="image1361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476250" cy="476250"/>
    <xdr:pic>
      <xdr:nvPicPr>
        <xdr:cNvPr id="0" name="image1359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97</xdr:row>
      <xdr:rowOff>0</xdr:rowOff>
    </xdr:from>
    <xdr:ext cx="476250" cy="476250"/>
    <xdr:pic>
      <xdr:nvPicPr>
        <xdr:cNvPr id="0" name="image1299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97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97</xdr:row>
      <xdr:rowOff>0</xdr:rowOff>
    </xdr:from>
    <xdr:ext cx="476250" cy="476250"/>
    <xdr:pic>
      <xdr:nvPicPr>
        <xdr:cNvPr id="0" name="image1352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97</xdr:row>
      <xdr:rowOff>0</xdr:rowOff>
    </xdr:from>
    <xdr:ext cx="476250" cy="476250"/>
    <xdr:pic>
      <xdr:nvPicPr>
        <xdr:cNvPr id="0" name="image1365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476250" cy="476250"/>
    <xdr:pic>
      <xdr:nvPicPr>
        <xdr:cNvPr id="0" name="image1135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466725" cy="476250"/>
    <xdr:pic>
      <xdr:nvPicPr>
        <xdr:cNvPr id="0" name="image1513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98</xdr:row>
      <xdr:rowOff>0</xdr:rowOff>
    </xdr:from>
    <xdr:ext cx="476250" cy="476250"/>
    <xdr:pic>
      <xdr:nvPicPr>
        <xdr:cNvPr id="0" name="image1376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98</xdr:row>
      <xdr:rowOff>0</xdr:rowOff>
    </xdr:from>
    <xdr:ext cx="476250" cy="476250"/>
    <xdr:pic>
      <xdr:nvPicPr>
        <xdr:cNvPr id="0" name="image1364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98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476250" cy="476250"/>
    <xdr:pic>
      <xdr:nvPicPr>
        <xdr:cNvPr id="0" name="image12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98</xdr:row>
      <xdr:rowOff>0</xdr:rowOff>
    </xdr:from>
    <xdr:ext cx="476250" cy="476250"/>
    <xdr:pic>
      <xdr:nvPicPr>
        <xdr:cNvPr id="0" name="image1369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98</xdr:row>
      <xdr:rowOff>0</xdr:rowOff>
    </xdr:from>
    <xdr:ext cx="476250" cy="476250"/>
    <xdr:pic>
      <xdr:nvPicPr>
        <xdr:cNvPr id="0" name="image124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98</xdr:row>
      <xdr:rowOff>0</xdr:rowOff>
    </xdr:from>
    <xdr:ext cx="466725" cy="476250"/>
    <xdr:pic>
      <xdr:nvPicPr>
        <xdr:cNvPr id="0" name="image1366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98</xdr:row>
      <xdr:rowOff>0</xdr:rowOff>
    </xdr:from>
    <xdr:ext cx="476250" cy="476250"/>
    <xdr:pic>
      <xdr:nvPicPr>
        <xdr:cNvPr id="0" name="image1367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476250" cy="476250"/>
    <xdr:pic>
      <xdr:nvPicPr>
        <xdr:cNvPr id="0" name="image1135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99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99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99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99</xdr:row>
      <xdr:rowOff>0</xdr:rowOff>
    </xdr:from>
    <xdr:ext cx="476250" cy="476250"/>
    <xdr:pic>
      <xdr:nvPicPr>
        <xdr:cNvPr id="0" name="image1354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99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476250" cy="476250"/>
    <xdr:pic>
      <xdr:nvPicPr>
        <xdr:cNvPr id="0" name="image1102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100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100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100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100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100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476250" cy="476250"/>
    <xdr:pic>
      <xdr:nvPicPr>
        <xdr:cNvPr id="0" name="image1102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101</xdr:row>
      <xdr:rowOff>0</xdr:rowOff>
    </xdr:from>
    <xdr:ext cx="476250" cy="476250"/>
    <xdr:pic>
      <xdr:nvPicPr>
        <xdr:cNvPr id="0" name="image133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101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101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101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101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101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476250" cy="476250"/>
    <xdr:pic>
      <xdr:nvPicPr>
        <xdr:cNvPr id="0" name="image1058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466725" cy="476250"/>
    <xdr:pic>
      <xdr:nvPicPr>
        <xdr:cNvPr id="0" name="image1513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102</xdr:row>
      <xdr:rowOff>0</xdr:rowOff>
    </xdr:from>
    <xdr:ext cx="476250" cy="476250"/>
    <xdr:pic>
      <xdr:nvPicPr>
        <xdr:cNvPr id="0" name="image1376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476250" cy="476250"/>
    <xdr:pic>
      <xdr:nvPicPr>
        <xdr:cNvPr id="0" name="image1364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476250" cy="476250"/>
    <xdr:pic>
      <xdr:nvPicPr>
        <xdr:cNvPr id="0" name="image12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102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102</xdr:row>
      <xdr:rowOff>0</xdr:rowOff>
    </xdr:from>
    <xdr:ext cx="476250" cy="476250"/>
    <xdr:pic>
      <xdr:nvPicPr>
        <xdr:cNvPr id="0" name="image127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102</xdr:row>
      <xdr:rowOff>0</xdr:rowOff>
    </xdr:from>
    <xdr:ext cx="476250" cy="476250"/>
    <xdr:pic>
      <xdr:nvPicPr>
        <xdr:cNvPr id="0" name="image128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102</xdr:row>
      <xdr:rowOff>0</xdr:rowOff>
    </xdr:from>
    <xdr:ext cx="466725" cy="476250"/>
    <xdr:pic>
      <xdr:nvPicPr>
        <xdr:cNvPr id="0" name="image1366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102</xdr:row>
      <xdr:rowOff>0</xdr:rowOff>
    </xdr:from>
    <xdr:ext cx="476250" cy="476250"/>
    <xdr:pic>
      <xdr:nvPicPr>
        <xdr:cNvPr id="0" name="image1367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476250" cy="476250"/>
    <xdr:pic>
      <xdr:nvPicPr>
        <xdr:cNvPr id="0" name="image1142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103</xdr:row>
      <xdr:rowOff>0</xdr:rowOff>
    </xdr:from>
    <xdr:ext cx="476250" cy="476250"/>
    <xdr:pic>
      <xdr:nvPicPr>
        <xdr:cNvPr id="0" name="image133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103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103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103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103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103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476250" cy="476250"/>
    <xdr:pic>
      <xdr:nvPicPr>
        <xdr:cNvPr id="0" name="image1152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104</xdr:row>
      <xdr:rowOff>0</xdr:rowOff>
    </xdr:from>
    <xdr:ext cx="476250" cy="476250"/>
    <xdr:pic>
      <xdr:nvPicPr>
        <xdr:cNvPr id="0" name="image133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104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104</xdr:row>
      <xdr:rowOff>0</xdr:rowOff>
    </xdr:from>
    <xdr:ext cx="476250" cy="476250"/>
    <xdr:pic>
      <xdr:nvPicPr>
        <xdr:cNvPr id="0" name="image13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104</xdr:row>
      <xdr:rowOff>0</xdr:rowOff>
    </xdr:from>
    <xdr:ext cx="476250" cy="476250"/>
    <xdr:pic>
      <xdr:nvPicPr>
        <xdr:cNvPr id="0" name="image135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104</xdr:row>
      <xdr:rowOff>0</xdr:rowOff>
    </xdr:from>
    <xdr:ext cx="476250" cy="476250"/>
    <xdr:pic>
      <xdr:nvPicPr>
        <xdr:cNvPr id="0" name="image1313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104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104</xdr:row>
      <xdr:rowOff>0</xdr:rowOff>
    </xdr:from>
    <xdr:ext cx="476250" cy="476250"/>
    <xdr:pic>
      <xdr:nvPicPr>
        <xdr:cNvPr id="0" name="image1341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476250" cy="476250"/>
    <xdr:pic>
      <xdr:nvPicPr>
        <xdr:cNvPr id="0" name="image1071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476250" cy="476250"/>
    <xdr:pic>
      <xdr:nvPicPr>
        <xdr:cNvPr id="0" name="image1432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105</xdr:row>
      <xdr:rowOff>0</xdr:rowOff>
    </xdr:from>
    <xdr:ext cx="476250" cy="476250"/>
    <xdr:pic>
      <xdr:nvPicPr>
        <xdr:cNvPr id="0" name="image1375.pn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476250" cy="476250"/>
    <xdr:pic>
      <xdr:nvPicPr>
        <xdr:cNvPr id="0" name="image1377.pn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105</xdr:row>
      <xdr:rowOff>0</xdr:rowOff>
    </xdr:from>
    <xdr:ext cx="476250" cy="476250"/>
    <xdr:pic>
      <xdr:nvPicPr>
        <xdr:cNvPr id="0" name="image130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</xdr:row>
      <xdr:rowOff>0</xdr:rowOff>
    </xdr:from>
    <xdr:ext cx="476250" cy="476250"/>
    <xdr:pic>
      <xdr:nvPicPr>
        <xdr:cNvPr id="0" name="image13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105</xdr:row>
      <xdr:rowOff>0</xdr:rowOff>
    </xdr:from>
    <xdr:ext cx="476250" cy="476250"/>
    <xdr:pic>
      <xdr:nvPicPr>
        <xdr:cNvPr id="0" name="image1370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105</xdr:row>
      <xdr:rowOff>0</xdr:rowOff>
    </xdr:from>
    <xdr:ext cx="476250" cy="476250"/>
    <xdr:pic>
      <xdr:nvPicPr>
        <xdr:cNvPr id="0" name="image137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105</xdr:row>
      <xdr:rowOff>0</xdr:rowOff>
    </xdr:from>
    <xdr:ext cx="476250" cy="476250"/>
    <xdr:pic>
      <xdr:nvPicPr>
        <xdr:cNvPr id="0" name="image1409.pn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105</xdr:row>
      <xdr:rowOff>0</xdr:rowOff>
    </xdr:from>
    <xdr:ext cx="476250" cy="476250"/>
    <xdr:pic>
      <xdr:nvPicPr>
        <xdr:cNvPr id="0" name="image1368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105</xdr:row>
      <xdr:rowOff>0</xdr:rowOff>
    </xdr:from>
    <xdr:ext cx="476250" cy="476250"/>
    <xdr:pic>
      <xdr:nvPicPr>
        <xdr:cNvPr id="0" name="image1351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476250" cy="476250"/>
    <xdr:pic>
      <xdr:nvPicPr>
        <xdr:cNvPr id="0" name="image1070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106</xdr:row>
      <xdr:rowOff>0</xdr:rowOff>
    </xdr:from>
    <xdr:ext cx="466725" cy="476250"/>
    <xdr:pic>
      <xdr:nvPicPr>
        <xdr:cNvPr id="0" name="image1386.pn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</xdr:row>
      <xdr:rowOff>0</xdr:rowOff>
    </xdr:from>
    <xdr:ext cx="476250" cy="476250"/>
    <xdr:pic>
      <xdr:nvPicPr>
        <xdr:cNvPr id="0" name="image1606.pn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106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106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106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106</xdr:row>
      <xdr:rowOff>0</xdr:rowOff>
    </xdr:from>
    <xdr:ext cx="476250" cy="476250"/>
    <xdr:pic>
      <xdr:nvPicPr>
        <xdr:cNvPr id="0" name="image1354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106</xdr:row>
      <xdr:rowOff>0</xdr:rowOff>
    </xdr:from>
    <xdr:ext cx="476250" cy="476250"/>
    <xdr:pic>
      <xdr:nvPicPr>
        <xdr:cNvPr id="0" name="image1345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476250" cy="476250"/>
    <xdr:pic>
      <xdr:nvPicPr>
        <xdr:cNvPr id="0" name="image1148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107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107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107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107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107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107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107</xdr:row>
      <xdr:rowOff>0</xdr:rowOff>
    </xdr:from>
    <xdr:ext cx="476250" cy="476250"/>
    <xdr:pic>
      <xdr:nvPicPr>
        <xdr:cNvPr id="0" name="image1345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476250" cy="476250"/>
    <xdr:pic>
      <xdr:nvPicPr>
        <xdr:cNvPr id="0" name="image1047.jp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108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476250" cy="476250"/>
    <xdr:pic>
      <xdr:nvPicPr>
        <xdr:cNvPr id="0" name="image14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108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108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108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108</xdr:row>
      <xdr:rowOff>0</xdr:rowOff>
    </xdr:from>
    <xdr:ext cx="476250" cy="476250"/>
    <xdr:pic>
      <xdr:nvPicPr>
        <xdr:cNvPr id="0" name="image1353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108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108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476250" cy="476250"/>
    <xdr:pic>
      <xdr:nvPicPr>
        <xdr:cNvPr id="0" name="image1089.jp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109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109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109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109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109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476250" cy="476250"/>
    <xdr:pic>
      <xdr:nvPicPr>
        <xdr:cNvPr id="0" name="image1345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476250" cy="476250"/>
    <xdr:pic>
      <xdr:nvPicPr>
        <xdr:cNvPr id="0" name="image1161.jp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476250" cy="476250"/>
    <xdr:pic>
      <xdr:nvPicPr>
        <xdr:cNvPr id="0" name="image1342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110</xdr:row>
      <xdr:rowOff>0</xdr:rowOff>
    </xdr:from>
    <xdr:ext cx="476250" cy="476250"/>
    <xdr:pic>
      <xdr:nvPicPr>
        <xdr:cNvPr id="0" name="image1363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476250" cy="476250"/>
    <xdr:pic>
      <xdr:nvPicPr>
        <xdr:cNvPr id="0" name="image1335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476250" cy="476250"/>
    <xdr:pic>
      <xdr:nvPicPr>
        <xdr:cNvPr id="0" name="image13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110</xdr:row>
      <xdr:rowOff>0</xdr:rowOff>
    </xdr:from>
    <xdr:ext cx="476250" cy="476250"/>
    <xdr:pic>
      <xdr:nvPicPr>
        <xdr:cNvPr id="0" name="image135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110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110</xdr:row>
      <xdr:rowOff>0</xdr:rowOff>
    </xdr:from>
    <xdr:ext cx="476250" cy="476250"/>
    <xdr:pic>
      <xdr:nvPicPr>
        <xdr:cNvPr id="0" name="image135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476250" cy="476250"/>
    <xdr:pic>
      <xdr:nvPicPr>
        <xdr:cNvPr id="0" name="image1378.pn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476250" cy="476250"/>
    <xdr:pic>
      <xdr:nvPicPr>
        <xdr:cNvPr id="0" name="image1131.jp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111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111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111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111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111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476250" cy="476250"/>
    <xdr:pic>
      <xdr:nvPicPr>
        <xdr:cNvPr id="0" name="image1040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112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476250" cy="476250"/>
    <xdr:pic>
      <xdr:nvPicPr>
        <xdr:cNvPr id="0" name="image14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112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112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112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112</xdr:row>
      <xdr:rowOff>0</xdr:rowOff>
    </xdr:from>
    <xdr:ext cx="476250" cy="476250"/>
    <xdr:pic>
      <xdr:nvPicPr>
        <xdr:cNvPr id="0" name="image1354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476250" cy="476250"/>
    <xdr:pic>
      <xdr:nvPicPr>
        <xdr:cNvPr id="0" name="image1105.jp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466725" cy="476250"/>
    <xdr:pic>
      <xdr:nvPicPr>
        <xdr:cNvPr id="0" name="image1513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113</xdr:row>
      <xdr:rowOff>0</xdr:rowOff>
    </xdr:from>
    <xdr:ext cx="466725" cy="476250"/>
    <xdr:pic>
      <xdr:nvPicPr>
        <xdr:cNvPr id="0" name="image1382.pn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113</xdr:row>
      <xdr:rowOff>0</xdr:rowOff>
    </xdr:from>
    <xdr:ext cx="476250" cy="476250"/>
    <xdr:pic>
      <xdr:nvPicPr>
        <xdr:cNvPr id="0" name="image1364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113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</xdr:row>
      <xdr:rowOff>0</xdr:rowOff>
    </xdr:from>
    <xdr:ext cx="476250" cy="476250"/>
    <xdr:pic>
      <xdr:nvPicPr>
        <xdr:cNvPr id="0" name="image12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113</xdr:row>
      <xdr:rowOff>0</xdr:rowOff>
    </xdr:from>
    <xdr:ext cx="476250" cy="476250"/>
    <xdr:pic>
      <xdr:nvPicPr>
        <xdr:cNvPr id="0" name="image1369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113</xdr:row>
      <xdr:rowOff>0</xdr:rowOff>
    </xdr:from>
    <xdr:ext cx="476250" cy="476250"/>
    <xdr:pic>
      <xdr:nvPicPr>
        <xdr:cNvPr id="0" name="image1380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113</xdr:row>
      <xdr:rowOff>0</xdr:rowOff>
    </xdr:from>
    <xdr:ext cx="466725" cy="476250"/>
    <xdr:pic>
      <xdr:nvPicPr>
        <xdr:cNvPr id="0" name="image1366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476250" cy="476250"/>
    <xdr:pic>
      <xdr:nvPicPr>
        <xdr:cNvPr id="0" name="image1367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476250" cy="476250"/>
    <xdr:pic>
      <xdr:nvPicPr>
        <xdr:cNvPr id="0" name="image1106.jp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114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114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114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114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114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114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476250" cy="476250"/>
    <xdr:pic>
      <xdr:nvPicPr>
        <xdr:cNvPr id="0" name="image1345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476250" cy="476250"/>
    <xdr:pic>
      <xdr:nvPicPr>
        <xdr:cNvPr id="0" name="image1053.jp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115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115</xdr:row>
      <xdr:rowOff>0</xdr:rowOff>
    </xdr:from>
    <xdr:ext cx="476250" cy="476250"/>
    <xdr:pic>
      <xdr:nvPicPr>
        <xdr:cNvPr id="0" name="image14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115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115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115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115</xdr:row>
      <xdr:rowOff>0</xdr:rowOff>
    </xdr:from>
    <xdr:ext cx="476250" cy="476250"/>
    <xdr:pic>
      <xdr:nvPicPr>
        <xdr:cNvPr id="0" name="image1354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476250" cy="476250"/>
    <xdr:pic>
      <xdr:nvPicPr>
        <xdr:cNvPr id="0" name="image1039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476250" cy="476250"/>
    <xdr:pic>
      <xdr:nvPicPr>
        <xdr:cNvPr id="0" name="image1435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476250" cy="476250"/>
    <xdr:pic>
      <xdr:nvPicPr>
        <xdr:cNvPr id="0" name="image1361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476250" cy="476250"/>
    <xdr:pic>
      <xdr:nvPicPr>
        <xdr:cNvPr id="0" name="image1359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116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116</xdr:row>
      <xdr:rowOff>0</xdr:rowOff>
    </xdr:from>
    <xdr:ext cx="476250" cy="476250"/>
    <xdr:pic>
      <xdr:nvPicPr>
        <xdr:cNvPr id="0" name="image1299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116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116</xdr:row>
      <xdr:rowOff>0</xdr:rowOff>
    </xdr:from>
    <xdr:ext cx="476250" cy="476250"/>
    <xdr:pic>
      <xdr:nvPicPr>
        <xdr:cNvPr id="0" name="image1352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476250" cy="476250"/>
    <xdr:pic>
      <xdr:nvPicPr>
        <xdr:cNvPr id="0" name="image1365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476250" cy="476250"/>
    <xdr:pic>
      <xdr:nvPicPr>
        <xdr:cNvPr id="0" name="image1039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117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117</xdr:row>
      <xdr:rowOff>0</xdr:rowOff>
    </xdr:from>
    <xdr:ext cx="476250" cy="476250"/>
    <xdr:pic>
      <xdr:nvPicPr>
        <xdr:cNvPr id="0" name="image14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117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117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117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117</xdr:row>
      <xdr:rowOff>0</xdr:rowOff>
    </xdr:from>
    <xdr:ext cx="476250" cy="476250"/>
    <xdr:pic>
      <xdr:nvPicPr>
        <xdr:cNvPr id="0" name="image1353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117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117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476250" cy="476250"/>
    <xdr:pic>
      <xdr:nvPicPr>
        <xdr:cNvPr id="0" name="image1168.jp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118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476250" cy="476250"/>
    <xdr:pic>
      <xdr:nvPicPr>
        <xdr:cNvPr id="0" name="image14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118</xdr:row>
      <xdr:rowOff>0</xdr:rowOff>
    </xdr:from>
    <xdr:ext cx="476250" cy="476250"/>
    <xdr:pic>
      <xdr:nvPicPr>
        <xdr:cNvPr id="0" name="image1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118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118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118</xdr:row>
      <xdr:rowOff>0</xdr:rowOff>
    </xdr:from>
    <xdr:ext cx="476250" cy="476250"/>
    <xdr:pic>
      <xdr:nvPicPr>
        <xdr:cNvPr id="0" name="image1353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118</xdr:row>
      <xdr:rowOff>0</xdr:rowOff>
    </xdr:from>
    <xdr:ext cx="476250" cy="476250"/>
    <xdr:pic>
      <xdr:nvPicPr>
        <xdr:cNvPr id="0" name="image133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118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476250" cy="476250"/>
    <xdr:pic>
      <xdr:nvPicPr>
        <xdr:cNvPr id="0" name="image1082.jp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119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476250" cy="476250"/>
    <xdr:pic>
      <xdr:nvPicPr>
        <xdr:cNvPr id="0" name="image14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119</xdr:row>
      <xdr:rowOff>0</xdr:rowOff>
    </xdr:from>
    <xdr:ext cx="476250" cy="476250"/>
    <xdr:pic>
      <xdr:nvPicPr>
        <xdr:cNvPr id="0" name="image137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119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119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119</xdr:row>
      <xdr:rowOff>0</xdr:rowOff>
    </xdr:from>
    <xdr:ext cx="476250" cy="476250"/>
    <xdr:pic>
      <xdr:nvPicPr>
        <xdr:cNvPr id="0" name="image1353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119</xdr:row>
      <xdr:rowOff>0</xdr:rowOff>
    </xdr:from>
    <xdr:ext cx="476250" cy="476250"/>
    <xdr:pic>
      <xdr:nvPicPr>
        <xdr:cNvPr id="0" name="image1354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119</xdr:row>
      <xdr:rowOff>0</xdr:rowOff>
    </xdr:from>
    <xdr:ext cx="476250" cy="476250"/>
    <xdr:pic>
      <xdr:nvPicPr>
        <xdr:cNvPr id="0" name="image1350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47675" cy="447675"/>
    <xdr:pic>
      <xdr:nvPicPr>
        <xdr:cNvPr id="0" name="image139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47675" cy="447675"/>
    <xdr:pic>
      <xdr:nvPicPr>
        <xdr:cNvPr id="0" name="image13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47675" cy="447675"/>
    <xdr:pic>
      <xdr:nvPicPr>
        <xdr:cNvPr id="0" name="image138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47675" cy="447675"/>
    <xdr:pic>
      <xdr:nvPicPr>
        <xdr:cNvPr id="0" name="image13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47675" cy="447675"/>
    <xdr:pic>
      <xdr:nvPicPr>
        <xdr:cNvPr id="0" name="image139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47675" cy="447675"/>
    <xdr:pic>
      <xdr:nvPicPr>
        <xdr:cNvPr id="0" name="image150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47675" cy="447675"/>
    <xdr:pic>
      <xdr:nvPicPr>
        <xdr:cNvPr id="0" name="image138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47675" cy="447675"/>
    <xdr:pic>
      <xdr:nvPicPr>
        <xdr:cNvPr id="0" name="image140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47675" cy="447675"/>
    <xdr:pic>
      <xdr:nvPicPr>
        <xdr:cNvPr id="0" name="image140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47675" cy="447675"/>
    <xdr:pic>
      <xdr:nvPicPr>
        <xdr:cNvPr id="0" name="image139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47675" cy="447675"/>
    <xdr:pic>
      <xdr:nvPicPr>
        <xdr:cNvPr id="0" name="image138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47675" cy="447675"/>
    <xdr:pic>
      <xdr:nvPicPr>
        <xdr:cNvPr id="0" name="image14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47675" cy="447675"/>
    <xdr:pic>
      <xdr:nvPicPr>
        <xdr:cNvPr id="0" name="image138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47675" cy="447675"/>
    <xdr:pic>
      <xdr:nvPicPr>
        <xdr:cNvPr id="0" name="image138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47675" cy="447675"/>
    <xdr:pic>
      <xdr:nvPicPr>
        <xdr:cNvPr id="0" name="image138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47675" cy="447675"/>
    <xdr:pic>
      <xdr:nvPicPr>
        <xdr:cNvPr id="0" name="image140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47675" cy="447675"/>
    <xdr:pic>
      <xdr:nvPicPr>
        <xdr:cNvPr id="0" name="image157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47675" cy="447675"/>
    <xdr:pic>
      <xdr:nvPicPr>
        <xdr:cNvPr id="0" name="image140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47675" cy="447675"/>
    <xdr:pic>
      <xdr:nvPicPr>
        <xdr:cNvPr id="0" name="image142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47675" cy="447675"/>
    <xdr:pic>
      <xdr:nvPicPr>
        <xdr:cNvPr id="0" name="image143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47675" cy="447675"/>
    <xdr:pic>
      <xdr:nvPicPr>
        <xdr:cNvPr id="0" name="image141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47675" cy="447675"/>
    <xdr:pic>
      <xdr:nvPicPr>
        <xdr:cNvPr id="0" name="image139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47675" cy="447675"/>
    <xdr:pic>
      <xdr:nvPicPr>
        <xdr:cNvPr id="0" name="image139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47675" cy="447675"/>
    <xdr:pic>
      <xdr:nvPicPr>
        <xdr:cNvPr id="0" name="image140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47675" cy="447675"/>
    <xdr:pic>
      <xdr:nvPicPr>
        <xdr:cNvPr id="0" name="image139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47675" cy="447675"/>
    <xdr:pic>
      <xdr:nvPicPr>
        <xdr:cNvPr id="0" name="image139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47675" cy="447675"/>
    <xdr:pic>
      <xdr:nvPicPr>
        <xdr:cNvPr id="0" name="image139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47675" cy="447675"/>
    <xdr:pic>
      <xdr:nvPicPr>
        <xdr:cNvPr id="0" name="image141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47675" cy="447675"/>
    <xdr:pic>
      <xdr:nvPicPr>
        <xdr:cNvPr id="0" name="image140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47675" cy="447675"/>
    <xdr:pic>
      <xdr:nvPicPr>
        <xdr:cNvPr id="0" name="image16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47675" cy="447675"/>
    <xdr:pic>
      <xdr:nvPicPr>
        <xdr:cNvPr id="0" name="image141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47675" cy="447675"/>
    <xdr:pic>
      <xdr:nvPicPr>
        <xdr:cNvPr id="0" name="image140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47675" cy="447675"/>
    <xdr:pic>
      <xdr:nvPicPr>
        <xdr:cNvPr id="0" name="image144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47675" cy="447675"/>
    <xdr:pic>
      <xdr:nvPicPr>
        <xdr:cNvPr id="0" name="image141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47675" cy="447675"/>
    <xdr:pic>
      <xdr:nvPicPr>
        <xdr:cNvPr id="0" name="image1414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47675" cy="447675"/>
    <xdr:pic>
      <xdr:nvPicPr>
        <xdr:cNvPr id="0" name="image142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47675" cy="447675"/>
    <xdr:pic>
      <xdr:nvPicPr>
        <xdr:cNvPr id="0" name="image140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47675" cy="447675"/>
    <xdr:pic>
      <xdr:nvPicPr>
        <xdr:cNvPr id="0" name="image141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47675" cy="447675"/>
    <xdr:pic>
      <xdr:nvPicPr>
        <xdr:cNvPr id="0" name="image14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47675" cy="447675"/>
    <xdr:pic>
      <xdr:nvPicPr>
        <xdr:cNvPr id="0" name="image141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47675" cy="447675"/>
    <xdr:pic>
      <xdr:nvPicPr>
        <xdr:cNvPr id="0" name="image146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47675" cy="447675"/>
    <xdr:pic>
      <xdr:nvPicPr>
        <xdr:cNvPr id="0" name="image151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47675" cy="447675"/>
    <xdr:pic>
      <xdr:nvPicPr>
        <xdr:cNvPr id="0" name="image142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47675" cy="447675"/>
    <xdr:pic>
      <xdr:nvPicPr>
        <xdr:cNvPr id="0" name="image142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47675" cy="447675"/>
    <xdr:pic>
      <xdr:nvPicPr>
        <xdr:cNvPr id="0" name="image142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47675" cy="447675"/>
    <xdr:pic>
      <xdr:nvPicPr>
        <xdr:cNvPr id="0" name="image143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47675" cy="447675"/>
    <xdr:pic>
      <xdr:nvPicPr>
        <xdr:cNvPr id="0" name="image141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47675" cy="447675"/>
    <xdr:pic>
      <xdr:nvPicPr>
        <xdr:cNvPr id="0" name="image143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47675" cy="447675"/>
    <xdr:pic>
      <xdr:nvPicPr>
        <xdr:cNvPr id="0" name="image142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47675" cy="447675"/>
    <xdr:pic>
      <xdr:nvPicPr>
        <xdr:cNvPr id="0" name="image143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47675" cy="447675"/>
    <xdr:pic>
      <xdr:nvPicPr>
        <xdr:cNvPr id="0" name="image143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47675" cy="447675"/>
    <xdr:pic>
      <xdr:nvPicPr>
        <xdr:cNvPr id="0" name="image142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47675" cy="447675"/>
    <xdr:pic>
      <xdr:nvPicPr>
        <xdr:cNvPr id="0" name="image14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47675" cy="447675"/>
    <xdr:pic>
      <xdr:nvPicPr>
        <xdr:cNvPr id="0" name="image151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47675" cy="447675"/>
    <xdr:pic>
      <xdr:nvPicPr>
        <xdr:cNvPr id="0" name="image142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47675" cy="447675"/>
    <xdr:pic>
      <xdr:nvPicPr>
        <xdr:cNvPr id="0" name="image143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47675" cy="447675"/>
    <xdr:pic>
      <xdr:nvPicPr>
        <xdr:cNvPr id="0" name="image1451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47675" cy="447675"/>
    <xdr:pic>
      <xdr:nvPicPr>
        <xdr:cNvPr id="0" name="image145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47675" cy="447675"/>
    <xdr:pic>
      <xdr:nvPicPr>
        <xdr:cNvPr id="0" name="image1443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47675" cy="447675"/>
    <xdr:pic>
      <xdr:nvPicPr>
        <xdr:cNvPr id="0" name="image143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47675" cy="447675"/>
    <xdr:pic>
      <xdr:nvPicPr>
        <xdr:cNvPr id="0" name="image1455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47675" cy="447675"/>
    <xdr:pic>
      <xdr:nvPicPr>
        <xdr:cNvPr id="0" name="image144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47675" cy="447675"/>
    <xdr:pic>
      <xdr:nvPicPr>
        <xdr:cNvPr id="0" name="image144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47675" cy="447675"/>
    <xdr:pic>
      <xdr:nvPicPr>
        <xdr:cNvPr id="0" name="image14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47675" cy="447675"/>
    <xdr:pic>
      <xdr:nvPicPr>
        <xdr:cNvPr id="0" name="image145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47675" cy="447675"/>
    <xdr:pic>
      <xdr:nvPicPr>
        <xdr:cNvPr id="0" name="image144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47675" cy="447675"/>
    <xdr:pic>
      <xdr:nvPicPr>
        <xdr:cNvPr id="0" name="image1535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47675" cy="447675"/>
    <xdr:pic>
      <xdr:nvPicPr>
        <xdr:cNvPr id="0" name="image1456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47675" cy="447675"/>
    <xdr:pic>
      <xdr:nvPicPr>
        <xdr:cNvPr id="0" name="image144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47675" cy="447675"/>
    <xdr:pic>
      <xdr:nvPicPr>
        <xdr:cNvPr id="0" name="image144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47675" cy="447675"/>
    <xdr:pic>
      <xdr:nvPicPr>
        <xdr:cNvPr id="0" name="image146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47675" cy="447675"/>
    <xdr:pic>
      <xdr:nvPicPr>
        <xdr:cNvPr id="0" name="image1444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47675" cy="447675"/>
    <xdr:pic>
      <xdr:nvPicPr>
        <xdr:cNvPr id="0" name="image144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47675" cy="447675"/>
    <xdr:pic>
      <xdr:nvPicPr>
        <xdr:cNvPr id="0" name="image143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47675" cy="447675"/>
    <xdr:pic>
      <xdr:nvPicPr>
        <xdr:cNvPr id="0" name="image145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47675" cy="447675"/>
    <xdr:pic>
      <xdr:nvPicPr>
        <xdr:cNvPr id="0" name="image145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47675" cy="447675"/>
    <xdr:pic>
      <xdr:nvPicPr>
        <xdr:cNvPr id="0" name="image146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47675" cy="447675"/>
    <xdr:pic>
      <xdr:nvPicPr>
        <xdr:cNvPr id="0" name="image156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47675" cy="447675"/>
    <xdr:pic>
      <xdr:nvPicPr>
        <xdr:cNvPr id="0" name="image145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47675" cy="447675"/>
    <xdr:pic>
      <xdr:nvPicPr>
        <xdr:cNvPr id="0" name="image146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47675" cy="447675"/>
    <xdr:pic>
      <xdr:nvPicPr>
        <xdr:cNvPr id="0" name="image1468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47675" cy="447675"/>
    <xdr:pic>
      <xdr:nvPicPr>
        <xdr:cNvPr id="0" name="image146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47675" cy="447675"/>
    <xdr:pic>
      <xdr:nvPicPr>
        <xdr:cNvPr id="0" name="image146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47675" cy="447675"/>
    <xdr:pic>
      <xdr:nvPicPr>
        <xdr:cNvPr id="0" name="image146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47675" cy="447675"/>
    <xdr:pic>
      <xdr:nvPicPr>
        <xdr:cNvPr id="0" name="image1458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47675" cy="447675"/>
    <xdr:pic>
      <xdr:nvPicPr>
        <xdr:cNvPr id="0" name="image1466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47675" cy="447675"/>
    <xdr:pic>
      <xdr:nvPicPr>
        <xdr:cNvPr id="0" name="image147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47675" cy="447675"/>
    <xdr:pic>
      <xdr:nvPicPr>
        <xdr:cNvPr id="0" name="image147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47675" cy="447675"/>
    <xdr:pic>
      <xdr:nvPicPr>
        <xdr:cNvPr id="0" name="image1501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47675" cy="447675"/>
    <xdr:pic>
      <xdr:nvPicPr>
        <xdr:cNvPr id="0" name="image1552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47675" cy="447675"/>
    <xdr:pic>
      <xdr:nvPicPr>
        <xdr:cNvPr id="0" name="image1471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47675" cy="447675"/>
    <xdr:pic>
      <xdr:nvPicPr>
        <xdr:cNvPr id="0" name="image147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47675" cy="447675"/>
    <xdr:pic>
      <xdr:nvPicPr>
        <xdr:cNvPr id="0" name="image149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447675" cy="447675"/>
    <xdr:pic>
      <xdr:nvPicPr>
        <xdr:cNvPr id="0" name="image146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447675" cy="447675"/>
    <xdr:pic>
      <xdr:nvPicPr>
        <xdr:cNvPr id="0" name="image147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447675" cy="447675"/>
    <xdr:pic>
      <xdr:nvPicPr>
        <xdr:cNvPr id="0" name="image1470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447675" cy="447675"/>
    <xdr:pic>
      <xdr:nvPicPr>
        <xdr:cNvPr id="0" name="image149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447675" cy="447675"/>
    <xdr:pic>
      <xdr:nvPicPr>
        <xdr:cNvPr id="0" name="image148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447675" cy="447675"/>
    <xdr:pic>
      <xdr:nvPicPr>
        <xdr:cNvPr id="0" name="image149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447675" cy="447675"/>
    <xdr:pic>
      <xdr:nvPicPr>
        <xdr:cNvPr id="0" name="image148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447675" cy="447675"/>
    <xdr:pic>
      <xdr:nvPicPr>
        <xdr:cNvPr id="0" name="image147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447675" cy="447675"/>
    <xdr:pic>
      <xdr:nvPicPr>
        <xdr:cNvPr id="0" name="image1614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447675" cy="447675"/>
    <xdr:pic>
      <xdr:nvPicPr>
        <xdr:cNvPr id="0" name="image1478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447675" cy="447675"/>
    <xdr:pic>
      <xdr:nvPicPr>
        <xdr:cNvPr id="0" name="image148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447675" cy="447675"/>
    <xdr:pic>
      <xdr:nvPicPr>
        <xdr:cNvPr id="0" name="image1489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447675" cy="447675"/>
    <xdr:pic>
      <xdr:nvPicPr>
        <xdr:cNvPr id="0" name="image148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447675" cy="447675"/>
    <xdr:pic>
      <xdr:nvPicPr>
        <xdr:cNvPr id="0" name="image148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447675" cy="447675"/>
    <xdr:pic>
      <xdr:nvPicPr>
        <xdr:cNvPr id="0" name="image1512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447675" cy="447675"/>
    <xdr:pic>
      <xdr:nvPicPr>
        <xdr:cNvPr id="0" name="image147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447675" cy="447675"/>
    <xdr:pic>
      <xdr:nvPicPr>
        <xdr:cNvPr id="0" name="image149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447675" cy="447675"/>
    <xdr:pic>
      <xdr:nvPicPr>
        <xdr:cNvPr id="0" name="image1528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447675" cy="447675"/>
    <xdr:pic>
      <xdr:nvPicPr>
        <xdr:cNvPr id="0" name="image148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447675" cy="447675"/>
    <xdr:pic>
      <xdr:nvPicPr>
        <xdr:cNvPr id="0" name="image149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447675" cy="447675"/>
    <xdr:pic>
      <xdr:nvPicPr>
        <xdr:cNvPr id="0" name="image149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447675" cy="447675"/>
    <xdr:pic>
      <xdr:nvPicPr>
        <xdr:cNvPr id="0" name="image1615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447675" cy="447675"/>
    <xdr:pic>
      <xdr:nvPicPr>
        <xdr:cNvPr id="0" name="image14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447675" cy="447675"/>
    <xdr:pic>
      <xdr:nvPicPr>
        <xdr:cNvPr id="0" name="image149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447675" cy="447675"/>
    <xdr:pic>
      <xdr:nvPicPr>
        <xdr:cNvPr id="0" name="image1488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447675" cy="447675"/>
    <xdr:pic>
      <xdr:nvPicPr>
        <xdr:cNvPr id="0" name="image1477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447675" cy="447675"/>
    <xdr:pic>
      <xdr:nvPicPr>
        <xdr:cNvPr id="0" name="image149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447675" cy="447675"/>
    <xdr:pic>
      <xdr:nvPicPr>
        <xdr:cNvPr id="0" name="image148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447675" cy="447675"/>
    <xdr:pic>
      <xdr:nvPicPr>
        <xdr:cNvPr id="0" name="image1499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447675" cy="447675"/>
    <xdr:pic>
      <xdr:nvPicPr>
        <xdr:cNvPr id="0" name="image1508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447675" cy="447675"/>
    <xdr:pic>
      <xdr:nvPicPr>
        <xdr:cNvPr id="0" name="image1538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447675" cy="447675"/>
    <xdr:pic>
      <xdr:nvPicPr>
        <xdr:cNvPr id="0" name="image151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447675" cy="447675"/>
    <xdr:pic>
      <xdr:nvPicPr>
        <xdr:cNvPr id="0" name="image1540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0</xdr:rowOff>
    </xdr:from>
    <xdr:ext cx="447675" cy="447675"/>
    <xdr:pic>
      <xdr:nvPicPr>
        <xdr:cNvPr id="0" name="image149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447675" cy="447675"/>
    <xdr:pic>
      <xdr:nvPicPr>
        <xdr:cNvPr id="0" name="image1500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447675" cy="447675"/>
    <xdr:pic>
      <xdr:nvPicPr>
        <xdr:cNvPr id="0" name="image1526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447675" cy="447675"/>
    <xdr:pic>
      <xdr:nvPicPr>
        <xdr:cNvPr id="0" name="image152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0</xdr:rowOff>
    </xdr:from>
    <xdr:ext cx="447675" cy="447675"/>
    <xdr:pic>
      <xdr:nvPicPr>
        <xdr:cNvPr id="0" name="image1516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447675" cy="447675"/>
    <xdr:pic>
      <xdr:nvPicPr>
        <xdr:cNvPr id="0" name="image151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447675" cy="447675"/>
    <xdr:pic>
      <xdr:nvPicPr>
        <xdr:cNvPr id="0" name="image1502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447675" cy="447675"/>
    <xdr:pic>
      <xdr:nvPicPr>
        <xdr:cNvPr id="0" name="image1555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447675" cy="447675"/>
    <xdr:pic>
      <xdr:nvPicPr>
        <xdr:cNvPr id="0" name="image1503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447675" cy="447675"/>
    <xdr:pic>
      <xdr:nvPicPr>
        <xdr:cNvPr id="0" name="image1505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447675" cy="447675"/>
    <xdr:pic>
      <xdr:nvPicPr>
        <xdr:cNvPr id="0" name="image1548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447675" cy="447675"/>
    <xdr:pic>
      <xdr:nvPicPr>
        <xdr:cNvPr id="0" name="image1635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447675" cy="447675"/>
    <xdr:pic>
      <xdr:nvPicPr>
        <xdr:cNvPr id="0" name="image1507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0</xdr:rowOff>
    </xdr:from>
    <xdr:ext cx="447675" cy="447675"/>
    <xdr:pic>
      <xdr:nvPicPr>
        <xdr:cNvPr id="0" name="image1534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447675" cy="447675"/>
    <xdr:pic>
      <xdr:nvPicPr>
        <xdr:cNvPr id="0" name="image1527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447675" cy="447675"/>
    <xdr:pic>
      <xdr:nvPicPr>
        <xdr:cNvPr id="0" name="image1504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447675" cy="447675"/>
    <xdr:pic>
      <xdr:nvPicPr>
        <xdr:cNvPr id="0" name="image1529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447675" cy="447675"/>
    <xdr:pic>
      <xdr:nvPicPr>
        <xdr:cNvPr id="0" name="image1524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447675" cy="447675"/>
    <xdr:pic>
      <xdr:nvPicPr>
        <xdr:cNvPr id="0" name="image1506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0</xdr:rowOff>
    </xdr:from>
    <xdr:ext cx="447675" cy="447675"/>
    <xdr:pic>
      <xdr:nvPicPr>
        <xdr:cNvPr id="0" name="image1515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447675" cy="447675"/>
    <xdr:pic>
      <xdr:nvPicPr>
        <xdr:cNvPr id="0" name="image1553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0</xdr:rowOff>
    </xdr:from>
    <xdr:ext cx="447675" cy="447675"/>
    <xdr:pic>
      <xdr:nvPicPr>
        <xdr:cNvPr id="0" name="image1518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447675" cy="447675"/>
    <xdr:pic>
      <xdr:nvPicPr>
        <xdr:cNvPr id="0" name="image1531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447675" cy="447675"/>
    <xdr:pic>
      <xdr:nvPicPr>
        <xdr:cNvPr id="0" name="image1636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447675" cy="447675"/>
    <xdr:pic>
      <xdr:nvPicPr>
        <xdr:cNvPr id="0" name="image1514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447675" cy="447675"/>
    <xdr:pic>
      <xdr:nvPicPr>
        <xdr:cNvPr id="0" name="image1522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447675" cy="447675"/>
    <xdr:pic>
      <xdr:nvPicPr>
        <xdr:cNvPr id="0" name="image1533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447675" cy="447675"/>
    <xdr:pic>
      <xdr:nvPicPr>
        <xdr:cNvPr id="0" name="image1525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447675" cy="447675"/>
    <xdr:pic>
      <xdr:nvPicPr>
        <xdr:cNvPr id="0" name="image1523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447675" cy="447675"/>
    <xdr:pic>
      <xdr:nvPicPr>
        <xdr:cNvPr id="0" name="image1536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447675" cy="447675"/>
    <xdr:pic>
      <xdr:nvPicPr>
        <xdr:cNvPr id="0" name="image1521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447675" cy="447675"/>
    <xdr:pic>
      <xdr:nvPicPr>
        <xdr:cNvPr id="0" name="image1530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447675" cy="447675"/>
    <xdr:pic>
      <xdr:nvPicPr>
        <xdr:cNvPr id="0" name="image1560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447675" cy="447675"/>
    <xdr:pic>
      <xdr:nvPicPr>
        <xdr:cNvPr id="0" name="image1532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447675" cy="447675"/>
    <xdr:pic>
      <xdr:nvPicPr>
        <xdr:cNvPr id="0" name="image1537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0</xdr:rowOff>
    </xdr:from>
    <xdr:ext cx="447675" cy="447675"/>
    <xdr:pic>
      <xdr:nvPicPr>
        <xdr:cNvPr id="0" name="image1539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0</xdr:rowOff>
    </xdr:from>
    <xdr:ext cx="447675" cy="447675"/>
    <xdr:pic>
      <xdr:nvPicPr>
        <xdr:cNvPr id="0" name="image1618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</xdr:row>
      <xdr:rowOff>0</xdr:rowOff>
    </xdr:from>
    <xdr:ext cx="447675" cy="447675"/>
    <xdr:pic>
      <xdr:nvPicPr>
        <xdr:cNvPr id="0" name="image1589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447675" cy="447675"/>
    <xdr:pic>
      <xdr:nvPicPr>
        <xdr:cNvPr id="0" name="image1551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447675" cy="447675"/>
    <xdr:pic>
      <xdr:nvPicPr>
        <xdr:cNvPr id="0" name="image1541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168</xdr:row>
      <xdr:rowOff>0</xdr:rowOff>
    </xdr:from>
    <xdr:ext cx="447675" cy="447675"/>
    <xdr:pic>
      <xdr:nvPicPr>
        <xdr:cNvPr id="0" name="image1559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447675" cy="447675"/>
    <xdr:pic>
      <xdr:nvPicPr>
        <xdr:cNvPr id="0" name="image1564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447675" cy="447675"/>
    <xdr:pic>
      <xdr:nvPicPr>
        <xdr:cNvPr id="0" name="image1549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0</xdr:rowOff>
    </xdr:from>
    <xdr:ext cx="447675" cy="447675"/>
    <xdr:pic>
      <xdr:nvPicPr>
        <xdr:cNvPr id="0" name="image1542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447675" cy="447675"/>
    <xdr:pic>
      <xdr:nvPicPr>
        <xdr:cNvPr id="0" name="image1583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</xdr:row>
      <xdr:rowOff>0</xdr:rowOff>
    </xdr:from>
    <xdr:ext cx="447675" cy="447675"/>
    <xdr:pic>
      <xdr:nvPicPr>
        <xdr:cNvPr id="0" name="image1545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0</xdr:rowOff>
    </xdr:from>
    <xdr:ext cx="447675" cy="447675"/>
    <xdr:pic>
      <xdr:nvPicPr>
        <xdr:cNvPr id="0" name="image1557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447675" cy="447675"/>
    <xdr:pic>
      <xdr:nvPicPr>
        <xdr:cNvPr id="0" name="image1554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</xdr:row>
      <xdr:rowOff>0</xdr:rowOff>
    </xdr:from>
    <xdr:ext cx="447675" cy="447675"/>
    <xdr:pic>
      <xdr:nvPicPr>
        <xdr:cNvPr id="0" name="image1620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</xdr:row>
      <xdr:rowOff>0</xdr:rowOff>
    </xdr:from>
    <xdr:ext cx="447675" cy="447675"/>
    <xdr:pic>
      <xdr:nvPicPr>
        <xdr:cNvPr id="0" name="image1547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447675" cy="447675"/>
    <xdr:pic>
      <xdr:nvPicPr>
        <xdr:cNvPr id="0" name="image1543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0</xdr:rowOff>
    </xdr:from>
    <xdr:ext cx="447675" cy="447675"/>
    <xdr:pic>
      <xdr:nvPicPr>
        <xdr:cNvPr id="0" name="image1550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447675" cy="447675"/>
    <xdr:pic>
      <xdr:nvPicPr>
        <xdr:cNvPr id="0" name="image1561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447675" cy="447675"/>
    <xdr:pic>
      <xdr:nvPicPr>
        <xdr:cNvPr id="0" name="image1546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447675" cy="447675"/>
    <xdr:pic>
      <xdr:nvPicPr>
        <xdr:cNvPr id="0" name="image1563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0</xdr:rowOff>
    </xdr:from>
    <xdr:ext cx="447675" cy="447675"/>
    <xdr:pic>
      <xdr:nvPicPr>
        <xdr:cNvPr id="0" name="image1578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0</xdr:rowOff>
    </xdr:from>
    <xdr:ext cx="447675" cy="447675"/>
    <xdr:pic>
      <xdr:nvPicPr>
        <xdr:cNvPr id="0" name="image1567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0</xdr:rowOff>
    </xdr:from>
    <xdr:ext cx="447675" cy="447675"/>
    <xdr:pic>
      <xdr:nvPicPr>
        <xdr:cNvPr id="0" name="image1565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0</xdr:rowOff>
    </xdr:from>
    <xdr:ext cx="447675" cy="447675"/>
    <xdr:pic>
      <xdr:nvPicPr>
        <xdr:cNvPr id="0" name="image1558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447675" cy="447675"/>
    <xdr:pic>
      <xdr:nvPicPr>
        <xdr:cNvPr id="0" name="image1657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0</xdr:rowOff>
    </xdr:from>
    <xdr:ext cx="447675" cy="447675"/>
    <xdr:pic>
      <xdr:nvPicPr>
        <xdr:cNvPr id="0" name="image1556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</xdr:row>
      <xdr:rowOff>0</xdr:rowOff>
    </xdr:from>
    <xdr:ext cx="447675" cy="447675"/>
    <xdr:pic>
      <xdr:nvPicPr>
        <xdr:cNvPr id="0" name="image1544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447675" cy="447675"/>
    <xdr:pic>
      <xdr:nvPicPr>
        <xdr:cNvPr id="0" name="image1579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447675" cy="447675"/>
    <xdr:pic>
      <xdr:nvPicPr>
        <xdr:cNvPr id="0" name="image1566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0</xdr:rowOff>
    </xdr:from>
    <xdr:ext cx="447675" cy="447675"/>
    <xdr:pic>
      <xdr:nvPicPr>
        <xdr:cNvPr id="0" name="image1574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447675" cy="447675"/>
    <xdr:pic>
      <xdr:nvPicPr>
        <xdr:cNvPr id="0" name="image1568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0</xdr:rowOff>
    </xdr:from>
    <xdr:ext cx="447675" cy="447675"/>
    <xdr:pic>
      <xdr:nvPicPr>
        <xdr:cNvPr id="0" name="image1584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447675" cy="447675"/>
    <xdr:pic>
      <xdr:nvPicPr>
        <xdr:cNvPr id="0" name="image1582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0</xdr:rowOff>
    </xdr:from>
    <xdr:ext cx="447675" cy="447675"/>
    <xdr:pic>
      <xdr:nvPicPr>
        <xdr:cNvPr id="0" name="image1575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447675" cy="447675"/>
    <xdr:pic>
      <xdr:nvPicPr>
        <xdr:cNvPr id="0" name="image1573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447675" cy="447675"/>
    <xdr:pic>
      <xdr:nvPicPr>
        <xdr:cNvPr id="0" name="image1597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199</xdr:row>
      <xdr:rowOff>0</xdr:rowOff>
    </xdr:from>
    <xdr:ext cx="447675" cy="447675"/>
    <xdr:pic>
      <xdr:nvPicPr>
        <xdr:cNvPr id="0" name="image1621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447675" cy="447675"/>
    <xdr:pic>
      <xdr:nvPicPr>
        <xdr:cNvPr id="0" name="image158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</xdr:row>
      <xdr:rowOff>0</xdr:rowOff>
    </xdr:from>
    <xdr:ext cx="447675" cy="447675"/>
    <xdr:pic>
      <xdr:nvPicPr>
        <xdr:cNvPr id="0" name="image1571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447675" cy="447675"/>
    <xdr:pic>
      <xdr:nvPicPr>
        <xdr:cNvPr id="0" name="image1581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0</xdr:rowOff>
    </xdr:from>
    <xdr:ext cx="447675" cy="447675"/>
    <xdr:pic>
      <xdr:nvPicPr>
        <xdr:cNvPr id="0" name="image1572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204</xdr:row>
      <xdr:rowOff>0</xdr:rowOff>
    </xdr:from>
    <xdr:ext cx="447675" cy="447675"/>
    <xdr:pic>
      <xdr:nvPicPr>
        <xdr:cNvPr id="0" name="image1570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447675" cy="447675"/>
    <xdr:pic>
      <xdr:nvPicPr>
        <xdr:cNvPr id="0" name="image1594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206</xdr:row>
      <xdr:rowOff>0</xdr:rowOff>
    </xdr:from>
    <xdr:ext cx="447675" cy="447675"/>
    <xdr:pic>
      <xdr:nvPicPr>
        <xdr:cNvPr id="0" name="image1569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207</xdr:row>
      <xdr:rowOff>0</xdr:rowOff>
    </xdr:from>
    <xdr:ext cx="447675" cy="447675"/>
    <xdr:pic>
      <xdr:nvPicPr>
        <xdr:cNvPr id="0" name="image1595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0</xdr:rowOff>
    </xdr:from>
    <xdr:ext cx="447675" cy="447675"/>
    <xdr:pic>
      <xdr:nvPicPr>
        <xdr:cNvPr id="0" name="image157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0</xdr:rowOff>
    </xdr:from>
    <xdr:ext cx="447675" cy="447675"/>
    <xdr:pic>
      <xdr:nvPicPr>
        <xdr:cNvPr id="0" name="image1586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447675" cy="447675"/>
    <xdr:pic>
      <xdr:nvPicPr>
        <xdr:cNvPr id="0" name="image1593.pn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447675" cy="447675"/>
    <xdr:pic>
      <xdr:nvPicPr>
        <xdr:cNvPr id="0" name="image1655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0</xdr:rowOff>
    </xdr:from>
    <xdr:ext cx="447675" cy="447675"/>
    <xdr:pic>
      <xdr:nvPicPr>
        <xdr:cNvPr id="0" name="image1616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0</xdr:rowOff>
    </xdr:from>
    <xdr:ext cx="447675" cy="447675"/>
    <xdr:pic>
      <xdr:nvPicPr>
        <xdr:cNvPr id="0" name="image1612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0</xdr:rowOff>
    </xdr:from>
    <xdr:ext cx="447675" cy="447675"/>
    <xdr:pic>
      <xdr:nvPicPr>
        <xdr:cNvPr id="0" name="image1601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0</xdr:rowOff>
    </xdr:from>
    <xdr:ext cx="447675" cy="447675"/>
    <xdr:pic>
      <xdr:nvPicPr>
        <xdr:cNvPr id="0" name="image1591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216</xdr:row>
      <xdr:rowOff>0</xdr:rowOff>
    </xdr:from>
    <xdr:ext cx="447675" cy="447675"/>
    <xdr:pic>
      <xdr:nvPicPr>
        <xdr:cNvPr id="0" name="image1592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0</xdr:rowOff>
    </xdr:from>
    <xdr:ext cx="447675" cy="447675"/>
    <xdr:pic>
      <xdr:nvPicPr>
        <xdr:cNvPr id="0" name="image1604.pn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218</xdr:row>
      <xdr:rowOff>0</xdr:rowOff>
    </xdr:from>
    <xdr:ext cx="447675" cy="447675"/>
    <xdr:pic>
      <xdr:nvPicPr>
        <xdr:cNvPr id="0" name="image1587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219</xdr:row>
      <xdr:rowOff>0</xdr:rowOff>
    </xdr:from>
    <xdr:ext cx="447675" cy="447675"/>
    <xdr:pic>
      <xdr:nvPicPr>
        <xdr:cNvPr id="0" name="image1619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220</xdr:row>
      <xdr:rowOff>0</xdr:rowOff>
    </xdr:from>
    <xdr:ext cx="447675" cy="447675"/>
    <xdr:pic>
      <xdr:nvPicPr>
        <xdr:cNvPr id="0" name="image1600.pn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0</xdr:rowOff>
    </xdr:from>
    <xdr:ext cx="447675" cy="447675"/>
    <xdr:pic>
      <xdr:nvPicPr>
        <xdr:cNvPr id="0" name="image1588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0</xdr:rowOff>
    </xdr:from>
    <xdr:ext cx="447675" cy="447675"/>
    <xdr:pic>
      <xdr:nvPicPr>
        <xdr:cNvPr id="0" name="image1622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447675" cy="447675"/>
    <xdr:pic>
      <xdr:nvPicPr>
        <xdr:cNvPr id="0" name="image1628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224</xdr:row>
      <xdr:rowOff>0</xdr:rowOff>
    </xdr:from>
    <xdr:ext cx="447675" cy="447675"/>
    <xdr:pic>
      <xdr:nvPicPr>
        <xdr:cNvPr id="0" name="image1598.pn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225</xdr:row>
      <xdr:rowOff>0</xdr:rowOff>
    </xdr:from>
    <xdr:ext cx="447675" cy="447675"/>
    <xdr:pic>
      <xdr:nvPicPr>
        <xdr:cNvPr id="0" name="image1585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226</xdr:row>
      <xdr:rowOff>0</xdr:rowOff>
    </xdr:from>
    <xdr:ext cx="447675" cy="447675"/>
    <xdr:pic>
      <xdr:nvPicPr>
        <xdr:cNvPr id="0" name="image1590.pn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227</xdr:row>
      <xdr:rowOff>0</xdr:rowOff>
    </xdr:from>
    <xdr:ext cx="447675" cy="447675"/>
    <xdr:pic>
      <xdr:nvPicPr>
        <xdr:cNvPr id="0" name="image1609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</xdr:row>
      <xdr:rowOff>0</xdr:rowOff>
    </xdr:from>
    <xdr:ext cx="447675" cy="447675"/>
    <xdr:pic>
      <xdr:nvPicPr>
        <xdr:cNvPr id="0" name="image1634.pn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229</xdr:row>
      <xdr:rowOff>0</xdr:rowOff>
    </xdr:from>
    <xdr:ext cx="447675" cy="447675"/>
    <xdr:pic>
      <xdr:nvPicPr>
        <xdr:cNvPr id="0" name="image1602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59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60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6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6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6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7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59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60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6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60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6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63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6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65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60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63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73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62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62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6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62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63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64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62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66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67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64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64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64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76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63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64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64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63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66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63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64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64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69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64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65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767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67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66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66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67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661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65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65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69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6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65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66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77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67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67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67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65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65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66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675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68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66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666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69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764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67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66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6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68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676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684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6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69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68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680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701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77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68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0" name="image169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0" name="image1674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7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68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70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69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68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69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70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70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83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70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70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6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74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70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7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69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70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7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71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70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78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72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75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71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74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71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74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69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72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71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71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71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79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71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74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72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71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71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72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75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73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73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726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73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78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74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74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73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73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72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72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723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73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74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72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73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92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7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73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73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775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74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74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74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76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75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76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75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83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76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75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75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75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77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7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75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75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76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78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0" name="image179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0" name="image182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0" name="image176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0" name="image177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0" name="image181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1779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0" name="image178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0" name="image1780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0" name="image17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0" name="image1773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0" name="image177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0" name="image179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0" name="image180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0" name="image190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476250" cy="476250"/>
    <xdr:pic>
      <xdr:nvPicPr>
        <xdr:cNvPr id="0" name="image17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476250" cy="476250"/>
    <xdr:pic>
      <xdr:nvPicPr>
        <xdr:cNvPr id="0" name="image179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476250" cy="476250"/>
    <xdr:pic>
      <xdr:nvPicPr>
        <xdr:cNvPr id="0" name="image1820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476250" cy="476250"/>
    <xdr:pic>
      <xdr:nvPicPr>
        <xdr:cNvPr id="0" name="image1787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476250" cy="476250"/>
    <xdr:pic>
      <xdr:nvPicPr>
        <xdr:cNvPr id="0" name="image178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476250" cy="476250"/>
    <xdr:pic>
      <xdr:nvPicPr>
        <xdr:cNvPr id="0" name="image17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476250" cy="476250"/>
    <xdr:pic>
      <xdr:nvPicPr>
        <xdr:cNvPr id="0" name="image1796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476250" cy="476250"/>
    <xdr:pic>
      <xdr:nvPicPr>
        <xdr:cNvPr id="0" name="image178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476250" cy="476250"/>
    <xdr:pic>
      <xdr:nvPicPr>
        <xdr:cNvPr id="0" name="image1783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476250" cy="476250"/>
    <xdr:pic>
      <xdr:nvPicPr>
        <xdr:cNvPr id="0" name="image1809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476250" cy="476250"/>
    <xdr:pic>
      <xdr:nvPicPr>
        <xdr:cNvPr id="0" name="image1797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476250" cy="476250"/>
    <xdr:pic>
      <xdr:nvPicPr>
        <xdr:cNvPr id="0" name="image18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476250" cy="476250"/>
    <xdr:pic>
      <xdr:nvPicPr>
        <xdr:cNvPr id="0" name="image179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476250" cy="476250"/>
    <xdr:pic>
      <xdr:nvPicPr>
        <xdr:cNvPr id="0" name="image1856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476250" cy="476250"/>
    <xdr:pic>
      <xdr:nvPicPr>
        <xdr:cNvPr id="0" name="image182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476250" cy="476250"/>
    <xdr:pic>
      <xdr:nvPicPr>
        <xdr:cNvPr id="0" name="image182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476250" cy="476250"/>
    <xdr:pic>
      <xdr:nvPicPr>
        <xdr:cNvPr id="0" name="image180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476250" cy="476250"/>
    <xdr:pic>
      <xdr:nvPicPr>
        <xdr:cNvPr id="0" name="image180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476250" cy="476250"/>
    <xdr:pic>
      <xdr:nvPicPr>
        <xdr:cNvPr id="0" name="image179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79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79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80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8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85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8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80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80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81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82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8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81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80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80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85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81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9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80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8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84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82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81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83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82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81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82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8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90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84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84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81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83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83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82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83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869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85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84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89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843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96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853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83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84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84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85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83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835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84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854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87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86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98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87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85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86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866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855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879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86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883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877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880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95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861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884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85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86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894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84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870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848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867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882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88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863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2004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912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873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0" name="image1876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0" name="image1885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0" name="image187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0" name="image18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0" name="image189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1871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0" name="image1896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0" name="image1888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0" name="image1886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0" name="image1981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0" name="image1890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0" name="image1931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0" name="image1895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0" name="image1887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476250" cy="476250"/>
    <xdr:pic>
      <xdr:nvPicPr>
        <xdr:cNvPr id="0" name="image1889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476250" cy="476250"/>
    <xdr:pic>
      <xdr:nvPicPr>
        <xdr:cNvPr id="0" name="image1897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476250" cy="476250"/>
    <xdr:pic>
      <xdr:nvPicPr>
        <xdr:cNvPr id="0" name="image1891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476250" cy="476250"/>
    <xdr:pic>
      <xdr:nvPicPr>
        <xdr:cNvPr id="0" name="image190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476250" cy="476250"/>
    <xdr:pic>
      <xdr:nvPicPr>
        <xdr:cNvPr id="0" name="image1913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476250" cy="476250"/>
    <xdr:pic>
      <xdr:nvPicPr>
        <xdr:cNvPr id="0" name="image1933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90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9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89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90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90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91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90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90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9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9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92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92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99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90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89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9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92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93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94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9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94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90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91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93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93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98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94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66725" cy="476250"/>
    <xdr:pic>
      <xdr:nvPicPr>
        <xdr:cNvPr id="0" name="image191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95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91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91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93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92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92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93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93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92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988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940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925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94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95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93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93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95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942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971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97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941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97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96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95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956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949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96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95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947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94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973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97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619125" cy="619125"/>
    <xdr:pic>
      <xdr:nvPicPr>
        <xdr:cNvPr id="0" name="image20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619125" cy="619125"/>
    <xdr:pic>
      <xdr:nvPicPr>
        <xdr:cNvPr id="0" name="image195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619125" cy="619125"/>
    <xdr:pic>
      <xdr:nvPicPr>
        <xdr:cNvPr id="0" name="image19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619125" cy="619125"/>
    <xdr:pic>
      <xdr:nvPicPr>
        <xdr:cNvPr id="0" name="image195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19125" cy="619125"/>
    <xdr:pic>
      <xdr:nvPicPr>
        <xdr:cNvPr id="0" name="image20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619125" cy="619125"/>
    <xdr:pic>
      <xdr:nvPicPr>
        <xdr:cNvPr id="0" name="image19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619125" cy="619125"/>
    <xdr:pic>
      <xdr:nvPicPr>
        <xdr:cNvPr id="0" name="image19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619125" cy="619125"/>
    <xdr:pic>
      <xdr:nvPicPr>
        <xdr:cNvPr id="0" name="image196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619125" cy="619125"/>
    <xdr:pic>
      <xdr:nvPicPr>
        <xdr:cNvPr id="0" name="image19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619125" cy="609600"/>
    <xdr:pic>
      <xdr:nvPicPr>
        <xdr:cNvPr id="0" name="image200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619125" cy="619125"/>
    <xdr:pic>
      <xdr:nvPicPr>
        <xdr:cNvPr id="0" name="image19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619125" cy="619125"/>
    <xdr:pic>
      <xdr:nvPicPr>
        <xdr:cNvPr id="0" name="image196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619125" cy="619125"/>
    <xdr:pic>
      <xdr:nvPicPr>
        <xdr:cNvPr id="0" name="image20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619125" cy="619125"/>
    <xdr:pic>
      <xdr:nvPicPr>
        <xdr:cNvPr id="0" name="image195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619125" cy="619125"/>
    <xdr:pic>
      <xdr:nvPicPr>
        <xdr:cNvPr id="0" name="image19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619125" cy="619125"/>
    <xdr:pic>
      <xdr:nvPicPr>
        <xdr:cNvPr id="0" name="image203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619125" cy="619125"/>
    <xdr:pic>
      <xdr:nvPicPr>
        <xdr:cNvPr id="0" name="image19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619125" cy="619125"/>
    <xdr:pic>
      <xdr:nvPicPr>
        <xdr:cNvPr id="0" name="image20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619125" cy="619125"/>
    <xdr:pic>
      <xdr:nvPicPr>
        <xdr:cNvPr id="0" name="image19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619125" cy="619125"/>
    <xdr:pic>
      <xdr:nvPicPr>
        <xdr:cNvPr id="0" name="image19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619125" cy="619125"/>
    <xdr:pic>
      <xdr:nvPicPr>
        <xdr:cNvPr id="0" name="image19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619125" cy="619125"/>
    <xdr:pic>
      <xdr:nvPicPr>
        <xdr:cNvPr id="0" name="image198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619125" cy="619125"/>
    <xdr:pic>
      <xdr:nvPicPr>
        <xdr:cNvPr id="0" name="image19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619125" cy="619125"/>
    <xdr:pic>
      <xdr:nvPicPr>
        <xdr:cNvPr id="0" name="image197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619125" cy="619125"/>
    <xdr:pic>
      <xdr:nvPicPr>
        <xdr:cNvPr id="0" name="image20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619125" cy="619125"/>
    <xdr:pic>
      <xdr:nvPicPr>
        <xdr:cNvPr id="0" name="image196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619125" cy="619125"/>
    <xdr:pic>
      <xdr:nvPicPr>
        <xdr:cNvPr id="0" name="image197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619125" cy="619125"/>
    <xdr:pic>
      <xdr:nvPicPr>
        <xdr:cNvPr id="0" name="image204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619125" cy="619125"/>
    <xdr:pic>
      <xdr:nvPicPr>
        <xdr:cNvPr id="0" name="image20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619125" cy="619125"/>
    <xdr:pic>
      <xdr:nvPicPr>
        <xdr:cNvPr id="0" name="image196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619125" cy="619125"/>
    <xdr:pic>
      <xdr:nvPicPr>
        <xdr:cNvPr id="0" name="image20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619125" cy="619125"/>
    <xdr:pic>
      <xdr:nvPicPr>
        <xdr:cNvPr id="0" name="image206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619125" cy="619125"/>
    <xdr:pic>
      <xdr:nvPicPr>
        <xdr:cNvPr id="0" name="image19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619125" cy="619125"/>
    <xdr:pic>
      <xdr:nvPicPr>
        <xdr:cNvPr id="0" name="image197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619125" cy="619125"/>
    <xdr:pic>
      <xdr:nvPicPr>
        <xdr:cNvPr id="0" name="image19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619125" cy="619125"/>
    <xdr:pic>
      <xdr:nvPicPr>
        <xdr:cNvPr id="0" name="image203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428625"/>
    <xdr:pic>
      <xdr:nvPicPr>
        <xdr:cNvPr id="0" name="image19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28625" cy="428625"/>
    <xdr:pic>
      <xdr:nvPicPr>
        <xdr:cNvPr id="0" name="image197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428625" cy="428625"/>
    <xdr:pic>
      <xdr:nvPicPr>
        <xdr:cNvPr id="0" name="image199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28625" cy="428625"/>
    <xdr:pic>
      <xdr:nvPicPr>
        <xdr:cNvPr id="0" name="image198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28625" cy="428625"/>
    <xdr:pic>
      <xdr:nvPicPr>
        <xdr:cNvPr id="0" name="image202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428625" cy="428625"/>
    <xdr:pic>
      <xdr:nvPicPr>
        <xdr:cNvPr id="0" name="image199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428625" cy="428625"/>
    <xdr:pic>
      <xdr:nvPicPr>
        <xdr:cNvPr id="0" name="image197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428625" cy="428625"/>
    <xdr:pic>
      <xdr:nvPicPr>
        <xdr:cNvPr id="0" name="image198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428625" cy="428625"/>
    <xdr:pic>
      <xdr:nvPicPr>
        <xdr:cNvPr id="0" name="image198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428625" cy="428625"/>
    <xdr:pic>
      <xdr:nvPicPr>
        <xdr:cNvPr id="0" name="image198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428625" cy="428625"/>
    <xdr:pic>
      <xdr:nvPicPr>
        <xdr:cNvPr id="0" name="image20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428625" cy="428625"/>
    <xdr:pic>
      <xdr:nvPicPr>
        <xdr:cNvPr id="0" name="image199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428625" cy="428625"/>
    <xdr:pic>
      <xdr:nvPicPr>
        <xdr:cNvPr id="0" name="image199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419100" cy="428625"/>
    <xdr:pic>
      <xdr:nvPicPr>
        <xdr:cNvPr id="0" name="image196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428625" cy="428625"/>
    <xdr:pic>
      <xdr:nvPicPr>
        <xdr:cNvPr id="0" name="image20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419100" cy="428625"/>
    <xdr:pic>
      <xdr:nvPicPr>
        <xdr:cNvPr id="0" name="image202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419100" cy="428625"/>
    <xdr:pic>
      <xdr:nvPicPr>
        <xdr:cNvPr id="0" name="image200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</xdr:row>
      <xdr:rowOff>0</xdr:rowOff>
    </xdr:from>
    <xdr:ext cx="428625" cy="428625"/>
    <xdr:pic>
      <xdr:nvPicPr>
        <xdr:cNvPr id="0" name="image20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</xdr:row>
      <xdr:rowOff>0</xdr:rowOff>
    </xdr:from>
    <xdr:ext cx="428625" cy="428625"/>
    <xdr:pic>
      <xdr:nvPicPr>
        <xdr:cNvPr id="0" name="image20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</xdr:row>
      <xdr:rowOff>0</xdr:rowOff>
    </xdr:from>
    <xdr:ext cx="428625" cy="428625"/>
    <xdr:pic>
      <xdr:nvPicPr>
        <xdr:cNvPr id="0" name="image200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</xdr:row>
      <xdr:rowOff>0</xdr:rowOff>
    </xdr:from>
    <xdr:ext cx="428625" cy="428625"/>
    <xdr:pic>
      <xdr:nvPicPr>
        <xdr:cNvPr id="0" name="image20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</xdr:row>
      <xdr:rowOff>0</xdr:rowOff>
    </xdr:from>
    <xdr:ext cx="428625" cy="428625"/>
    <xdr:pic>
      <xdr:nvPicPr>
        <xdr:cNvPr id="0" name="image200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</xdr:row>
      <xdr:rowOff>0</xdr:rowOff>
    </xdr:from>
    <xdr:ext cx="428625" cy="428625"/>
    <xdr:pic>
      <xdr:nvPicPr>
        <xdr:cNvPr id="0" name="image199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2</xdr:row>
      <xdr:rowOff>0</xdr:rowOff>
    </xdr:from>
    <xdr:ext cx="428625" cy="428625"/>
    <xdr:pic>
      <xdr:nvPicPr>
        <xdr:cNvPr id="0" name="image200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2</xdr:row>
      <xdr:rowOff>0</xdr:rowOff>
    </xdr:from>
    <xdr:ext cx="428625" cy="428625"/>
    <xdr:pic>
      <xdr:nvPicPr>
        <xdr:cNvPr id="0" name="image201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</xdr:row>
      <xdr:rowOff>0</xdr:rowOff>
    </xdr:from>
    <xdr:ext cx="428625" cy="428625"/>
    <xdr:pic>
      <xdr:nvPicPr>
        <xdr:cNvPr id="0" name="image199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2</xdr:row>
      <xdr:rowOff>0</xdr:rowOff>
    </xdr:from>
    <xdr:ext cx="428625" cy="428625"/>
    <xdr:pic>
      <xdr:nvPicPr>
        <xdr:cNvPr id="0" name="image199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</xdr:row>
      <xdr:rowOff>0</xdr:rowOff>
    </xdr:from>
    <xdr:ext cx="428625" cy="428625"/>
    <xdr:pic>
      <xdr:nvPicPr>
        <xdr:cNvPr id="0" name="image200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2</xdr:row>
      <xdr:rowOff>0</xdr:rowOff>
    </xdr:from>
    <xdr:ext cx="428625" cy="428625"/>
    <xdr:pic>
      <xdr:nvPicPr>
        <xdr:cNvPr id="0" name="image199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19100" cy="428625"/>
    <xdr:pic>
      <xdr:nvPicPr>
        <xdr:cNvPr id="0" name="image195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428625" cy="428625"/>
    <xdr:pic>
      <xdr:nvPicPr>
        <xdr:cNvPr id="0" name="image197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428625" cy="428625"/>
    <xdr:pic>
      <xdr:nvPicPr>
        <xdr:cNvPr id="0" name="image199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428625" cy="428625"/>
    <xdr:pic>
      <xdr:nvPicPr>
        <xdr:cNvPr id="0" name="image199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28625" cy="428625"/>
    <xdr:pic>
      <xdr:nvPicPr>
        <xdr:cNvPr id="0" name="image20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428625" cy="428625"/>
    <xdr:pic>
      <xdr:nvPicPr>
        <xdr:cNvPr id="0" name="image201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28625" cy="428625"/>
    <xdr:pic>
      <xdr:nvPicPr>
        <xdr:cNvPr id="0" name="image202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428625" cy="428625"/>
    <xdr:pic>
      <xdr:nvPicPr>
        <xdr:cNvPr id="0" name="image197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428625" cy="428625"/>
    <xdr:pic>
      <xdr:nvPicPr>
        <xdr:cNvPr id="0" name="image198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</xdr:row>
      <xdr:rowOff>0</xdr:rowOff>
    </xdr:from>
    <xdr:ext cx="428625" cy="428625"/>
    <xdr:pic>
      <xdr:nvPicPr>
        <xdr:cNvPr id="0" name="image203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428625" cy="428625"/>
    <xdr:pic>
      <xdr:nvPicPr>
        <xdr:cNvPr id="0" name="image202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428625" cy="428625"/>
    <xdr:pic>
      <xdr:nvPicPr>
        <xdr:cNvPr id="0" name="image204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</xdr:row>
      <xdr:rowOff>0</xdr:rowOff>
    </xdr:from>
    <xdr:ext cx="428625" cy="428625"/>
    <xdr:pic>
      <xdr:nvPicPr>
        <xdr:cNvPr id="0" name="image200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</xdr:row>
      <xdr:rowOff>0</xdr:rowOff>
    </xdr:from>
    <xdr:ext cx="428625" cy="428625"/>
    <xdr:pic>
      <xdr:nvPicPr>
        <xdr:cNvPr id="0" name="image20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</xdr:row>
      <xdr:rowOff>0</xdr:rowOff>
    </xdr:from>
    <xdr:ext cx="428625" cy="428625"/>
    <xdr:pic>
      <xdr:nvPicPr>
        <xdr:cNvPr id="0" name="image201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</xdr:row>
      <xdr:rowOff>0</xdr:rowOff>
    </xdr:from>
    <xdr:ext cx="428625" cy="428625"/>
    <xdr:pic>
      <xdr:nvPicPr>
        <xdr:cNvPr id="0" name="image204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</xdr:row>
      <xdr:rowOff>0</xdr:rowOff>
    </xdr:from>
    <xdr:ext cx="428625" cy="428625"/>
    <xdr:pic>
      <xdr:nvPicPr>
        <xdr:cNvPr id="0" name="image203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</xdr:row>
      <xdr:rowOff>0</xdr:rowOff>
    </xdr:from>
    <xdr:ext cx="428625" cy="428625"/>
    <xdr:pic>
      <xdr:nvPicPr>
        <xdr:cNvPr id="0" name="image201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</xdr:row>
      <xdr:rowOff>0</xdr:rowOff>
    </xdr:from>
    <xdr:ext cx="428625" cy="428625"/>
    <xdr:pic>
      <xdr:nvPicPr>
        <xdr:cNvPr id="0" name="image201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</xdr:row>
      <xdr:rowOff>0</xdr:rowOff>
    </xdr:from>
    <xdr:ext cx="419100" cy="428625"/>
    <xdr:pic>
      <xdr:nvPicPr>
        <xdr:cNvPr id="0" name="image19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3</xdr:row>
      <xdr:rowOff>0</xdr:rowOff>
    </xdr:from>
    <xdr:ext cx="428625" cy="428625"/>
    <xdr:pic>
      <xdr:nvPicPr>
        <xdr:cNvPr id="0" name="image200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</xdr:row>
      <xdr:rowOff>0</xdr:rowOff>
    </xdr:from>
    <xdr:ext cx="428625" cy="428625"/>
    <xdr:pic>
      <xdr:nvPicPr>
        <xdr:cNvPr id="0" name="image201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3</xdr:row>
      <xdr:rowOff>0</xdr:rowOff>
    </xdr:from>
    <xdr:ext cx="428625" cy="428625"/>
    <xdr:pic>
      <xdr:nvPicPr>
        <xdr:cNvPr id="0" name="image202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3</xdr:row>
      <xdr:rowOff>0</xdr:rowOff>
    </xdr:from>
    <xdr:ext cx="428625" cy="428625"/>
    <xdr:pic>
      <xdr:nvPicPr>
        <xdr:cNvPr id="0" name="image200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</xdr:row>
      <xdr:rowOff>0</xdr:rowOff>
    </xdr:from>
    <xdr:ext cx="428625" cy="428625"/>
    <xdr:pic>
      <xdr:nvPicPr>
        <xdr:cNvPr id="0" name="image20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3</xdr:row>
      <xdr:rowOff>0</xdr:rowOff>
    </xdr:from>
    <xdr:ext cx="428625" cy="428625"/>
    <xdr:pic>
      <xdr:nvPicPr>
        <xdr:cNvPr id="0" name="image200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3</xdr:row>
      <xdr:rowOff>0</xdr:rowOff>
    </xdr:from>
    <xdr:ext cx="428625" cy="428625"/>
    <xdr:pic>
      <xdr:nvPicPr>
        <xdr:cNvPr id="0" name="image205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3</xdr:row>
      <xdr:rowOff>0</xdr:rowOff>
    </xdr:from>
    <xdr:ext cx="428625" cy="428625"/>
    <xdr:pic>
      <xdr:nvPicPr>
        <xdr:cNvPr id="0" name="image205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3</xdr:row>
      <xdr:rowOff>0</xdr:rowOff>
    </xdr:from>
    <xdr:ext cx="428625" cy="428625"/>
    <xdr:pic>
      <xdr:nvPicPr>
        <xdr:cNvPr id="0" name="image200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19100" cy="428625"/>
    <xdr:pic>
      <xdr:nvPicPr>
        <xdr:cNvPr id="0" name="image196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28625" cy="428625"/>
    <xdr:pic>
      <xdr:nvPicPr>
        <xdr:cNvPr id="0" name="image197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28625" cy="428625"/>
    <xdr:pic>
      <xdr:nvPicPr>
        <xdr:cNvPr id="0" name="image199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28625" cy="428625"/>
    <xdr:pic>
      <xdr:nvPicPr>
        <xdr:cNvPr id="0" name="image203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28625" cy="428625"/>
    <xdr:pic>
      <xdr:nvPicPr>
        <xdr:cNvPr id="0" name="image198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</xdr:row>
      <xdr:rowOff>0</xdr:rowOff>
    </xdr:from>
    <xdr:ext cx="428625" cy="428625"/>
    <xdr:pic>
      <xdr:nvPicPr>
        <xdr:cNvPr id="0" name="image204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428625" cy="428625"/>
    <xdr:pic>
      <xdr:nvPicPr>
        <xdr:cNvPr id="0" name="image202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4</xdr:row>
      <xdr:rowOff>0</xdr:rowOff>
    </xdr:from>
    <xdr:ext cx="428625" cy="428625"/>
    <xdr:pic>
      <xdr:nvPicPr>
        <xdr:cNvPr id="0" name="image203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</xdr:row>
      <xdr:rowOff>0</xdr:rowOff>
    </xdr:from>
    <xdr:ext cx="428625" cy="428625"/>
    <xdr:pic>
      <xdr:nvPicPr>
        <xdr:cNvPr id="0" name="image202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</xdr:row>
      <xdr:rowOff>0</xdr:rowOff>
    </xdr:from>
    <xdr:ext cx="428625" cy="428625"/>
    <xdr:pic>
      <xdr:nvPicPr>
        <xdr:cNvPr id="0" name="image203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428625" cy="428625"/>
    <xdr:pic>
      <xdr:nvPicPr>
        <xdr:cNvPr id="0" name="image204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</xdr:row>
      <xdr:rowOff>0</xdr:rowOff>
    </xdr:from>
    <xdr:ext cx="428625" cy="428625"/>
    <xdr:pic>
      <xdr:nvPicPr>
        <xdr:cNvPr id="0" name="image209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</xdr:row>
      <xdr:rowOff>0</xdr:rowOff>
    </xdr:from>
    <xdr:ext cx="428625" cy="428625"/>
    <xdr:pic>
      <xdr:nvPicPr>
        <xdr:cNvPr id="0" name="image202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4</xdr:row>
      <xdr:rowOff>0</xdr:rowOff>
    </xdr:from>
    <xdr:ext cx="428625" cy="428625"/>
    <xdr:pic>
      <xdr:nvPicPr>
        <xdr:cNvPr id="0" name="image202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</xdr:row>
      <xdr:rowOff>0</xdr:rowOff>
    </xdr:from>
    <xdr:ext cx="428625" cy="428625"/>
    <xdr:pic>
      <xdr:nvPicPr>
        <xdr:cNvPr id="0" name="image200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</xdr:row>
      <xdr:rowOff>0</xdr:rowOff>
    </xdr:from>
    <xdr:ext cx="428625" cy="428625"/>
    <xdr:pic>
      <xdr:nvPicPr>
        <xdr:cNvPr id="0" name="image202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4</xdr:row>
      <xdr:rowOff>0</xdr:rowOff>
    </xdr:from>
    <xdr:ext cx="428625" cy="428625"/>
    <xdr:pic>
      <xdr:nvPicPr>
        <xdr:cNvPr id="0" name="image202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4</xdr:row>
      <xdr:rowOff>0</xdr:rowOff>
    </xdr:from>
    <xdr:ext cx="428625" cy="428625"/>
    <xdr:pic>
      <xdr:nvPicPr>
        <xdr:cNvPr id="0" name="image203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4</xdr:row>
      <xdr:rowOff>0</xdr:rowOff>
    </xdr:from>
    <xdr:ext cx="428625" cy="428625"/>
    <xdr:pic>
      <xdr:nvPicPr>
        <xdr:cNvPr id="0" name="image203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428625" cy="428625"/>
    <xdr:pic>
      <xdr:nvPicPr>
        <xdr:cNvPr id="0" name="image203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4</xdr:row>
      <xdr:rowOff>0</xdr:rowOff>
    </xdr:from>
    <xdr:ext cx="428625" cy="428625"/>
    <xdr:pic>
      <xdr:nvPicPr>
        <xdr:cNvPr id="0" name="image204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28625" cy="428625"/>
    <xdr:pic>
      <xdr:nvPicPr>
        <xdr:cNvPr id="0" name="image200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28625" cy="428625"/>
    <xdr:pic>
      <xdr:nvPicPr>
        <xdr:cNvPr id="0" name="image20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428625" cy="428625"/>
    <xdr:pic>
      <xdr:nvPicPr>
        <xdr:cNvPr id="0" name="image202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28625" cy="428625"/>
    <xdr:pic>
      <xdr:nvPicPr>
        <xdr:cNvPr id="0" name="image203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428625" cy="428625"/>
    <xdr:pic>
      <xdr:nvPicPr>
        <xdr:cNvPr id="0" name="image205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5</xdr:row>
      <xdr:rowOff>0</xdr:rowOff>
    </xdr:from>
    <xdr:ext cx="428625" cy="428625"/>
    <xdr:pic>
      <xdr:nvPicPr>
        <xdr:cNvPr id="0" name="image200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428625" cy="428625"/>
    <xdr:pic>
      <xdr:nvPicPr>
        <xdr:cNvPr id="0" name="image201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</xdr:row>
      <xdr:rowOff>0</xdr:rowOff>
    </xdr:from>
    <xdr:ext cx="428625" cy="428625"/>
    <xdr:pic>
      <xdr:nvPicPr>
        <xdr:cNvPr id="0" name="image203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5</xdr:row>
      <xdr:rowOff>0</xdr:rowOff>
    </xdr:from>
    <xdr:ext cx="428625" cy="428625"/>
    <xdr:pic>
      <xdr:nvPicPr>
        <xdr:cNvPr id="0" name="image202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5</xdr:row>
      <xdr:rowOff>0</xdr:rowOff>
    </xdr:from>
    <xdr:ext cx="428625" cy="428625"/>
    <xdr:pic>
      <xdr:nvPicPr>
        <xdr:cNvPr id="0" name="image205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428625" cy="428625"/>
    <xdr:pic>
      <xdr:nvPicPr>
        <xdr:cNvPr id="0" name="image203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5</xdr:row>
      <xdr:rowOff>0</xdr:rowOff>
    </xdr:from>
    <xdr:ext cx="428625" cy="428625"/>
    <xdr:pic>
      <xdr:nvPicPr>
        <xdr:cNvPr id="0" name="image202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5</xdr:row>
      <xdr:rowOff>0</xdr:rowOff>
    </xdr:from>
    <xdr:ext cx="428625" cy="428625"/>
    <xdr:pic>
      <xdr:nvPicPr>
        <xdr:cNvPr id="0" name="image2046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</xdr:row>
      <xdr:rowOff>0</xdr:rowOff>
    </xdr:from>
    <xdr:ext cx="428625" cy="428625"/>
    <xdr:pic>
      <xdr:nvPicPr>
        <xdr:cNvPr id="0" name="image204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5</xdr:row>
      <xdr:rowOff>0</xdr:rowOff>
    </xdr:from>
    <xdr:ext cx="428625" cy="428625"/>
    <xdr:pic>
      <xdr:nvPicPr>
        <xdr:cNvPr id="0" name="image202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5</xdr:row>
      <xdr:rowOff>0</xdr:rowOff>
    </xdr:from>
    <xdr:ext cx="428625" cy="428625"/>
    <xdr:pic>
      <xdr:nvPicPr>
        <xdr:cNvPr id="0" name="image203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28625" cy="428625"/>
    <xdr:pic>
      <xdr:nvPicPr>
        <xdr:cNvPr id="0" name="image195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428625" cy="428625"/>
    <xdr:pic>
      <xdr:nvPicPr>
        <xdr:cNvPr id="0" name="image206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428625" cy="428625"/>
    <xdr:pic>
      <xdr:nvPicPr>
        <xdr:cNvPr id="0" name="image205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428625" cy="428625"/>
    <xdr:pic>
      <xdr:nvPicPr>
        <xdr:cNvPr id="0" name="image210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428625" cy="428625"/>
    <xdr:pic>
      <xdr:nvPicPr>
        <xdr:cNvPr id="0" name="image20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</xdr:row>
      <xdr:rowOff>0</xdr:rowOff>
    </xdr:from>
    <xdr:ext cx="428625" cy="428625"/>
    <xdr:pic>
      <xdr:nvPicPr>
        <xdr:cNvPr id="0" name="image204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428625" cy="428625"/>
    <xdr:pic>
      <xdr:nvPicPr>
        <xdr:cNvPr id="0" name="image204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428625" cy="428625"/>
    <xdr:pic>
      <xdr:nvPicPr>
        <xdr:cNvPr id="0" name="image210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428625" cy="428625"/>
    <xdr:pic>
      <xdr:nvPicPr>
        <xdr:cNvPr id="0" name="image199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428625" cy="428625"/>
    <xdr:pic>
      <xdr:nvPicPr>
        <xdr:cNvPr id="0" name="image20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428625" cy="428625"/>
    <xdr:pic>
      <xdr:nvPicPr>
        <xdr:cNvPr id="0" name="image20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28625" cy="428625"/>
    <xdr:pic>
      <xdr:nvPicPr>
        <xdr:cNvPr id="0" name="image2057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428625" cy="428625"/>
    <xdr:pic>
      <xdr:nvPicPr>
        <xdr:cNvPr id="0" name="image206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</xdr:row>
      <xdr:rowOff>0</xdr:rowOff>
    </xdr:from>
    <xdr:ext cx="419100" cy="428625"/>
    <xdr:pic>
      <xdr:nvPicPr>
        <xdr:cNvPr id="0" name="image200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</xdr:row>
      <xdr:rowOff>0</xdr:rowOff>
    </xdr:from>
    <xdr:ext cx="428625" cy="428625"/>
    <xdr:pic>
      <xdr:nvPicPr>
        <xdr:cNvPr id="0" name="image195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6</xdr:row>
      <xdr:rowOff>0</xdr:rowOff>
    </xdr:from>
    <xdr:ext cx="428625" cy="428625"/>
    <xdr:pic>
      <xdr:nvPicPr>
        <xdr:cNvPr id="0" name="image20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6</xdr:row>
      <xdr:rowOff>0</xdr:rowOff>
    </xdr:from>
    <xdr:ext cx="428625" cy="428625"/>
    <xdr:pic>
      <xdr:nvPicPr>
        <xdr:cNvPr id="0" name="image207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6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428625" cy="428625"/>
    <xdr:pic>
      <xdr:nvPicPr>
        <xdr:cNvPr id="0" name="image205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428625" cy="428625"/>
    <xdr:pic>
      <xdr:nvPicPr>
        <xdr:cNvPr id="0" name="image204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6</xdr:row>
      <xdr:rowOff>0</xdr:rowOff>
    </xdr:from>
    <xdr:ext cx="428625" cy="428625"/>
    <xdr:pic>
      <xdr:nvPicPr>
        <xdr:cNvPr id="0" name="image204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</xdr:row>
      <xdr:rowOff>0</xdr:rowOff>
    </xdr:from>
    <xdr:ext cx="428625" cy="428625"/>
    <xdr:pic>
      <xdr:nvPicPr>
        <xdr:cNvPr id="0" name="image204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6</xdr:row>
      <xdr:rowOff>0</xdr:rowOff>
    </xdr:from>
    <xdr:ext cx="428625" cy="428625"/>
    <xdr:pic>
      <xdr:nvPicPr>
        <xdr:cNvPr id="0" name="image205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428625" cy="428625"/>
    <xdr:pic>
      <xdr:nvPicPr>
        <xdr:cNvPr id="0" name="image199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19100" cy="428625"/>
    <xdr:pic>
      <xdr:nvPicPr>
        <xdr:cNvPr id="0" name="image197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428625" cy="428625"/>
    <xdr:pic>
      <xdr:nvPicPr>
        <xdr:cNvPr id="0" name="image197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428625" cy="428625"/>
    <xdr:pic>
      <xdr:nvPicPr>
        <xdr:cNvPr id="0" name="image2062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28625" cy="428625"/>
    <xdr:pic>
      <xdr:nvPicPr>
        <xdr:cNvPr id="0" name="image203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428625" cy="428625"/>
    <xdr:pic>
      <xdr:nvPicPr>
        <xdr:cNvPr id="0" name="image20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428625" cy="428625"/>
    <xdr:pic>
      <xdr:nvPicPr>
        <xdr:cNvPr id="0" name="image205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7</xdr:row>
      <xdr:rowOff>0</xdr:rowOff>
    </xdr:from>
    <xdr:ext cx="428625" cy="428625"/>
    <xdr:pic>
      <xdr:nvPicPr>
        <xdr:cNvPr id="0" name="image203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428625" cy="428625"/>
    <xdr:pic>
      <xdr:nvPicPr>
        <xdr:cNvPr id="0" name="image210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</xdr:row>
      <xdr:rowOff>0</xdr:rowOff>
    </xdr:from>
    <xdr:ext cx="428625" cy="428625"/>
    <xdr:pic>
      <xdr:nvPicPr>
        <xdr:cNvPr id="0" name="image210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7</xdr:row>
      <xdr:rowOff>0</xdr:rowOff>
    </xdr:from>
    <xdr:ext cx="428625" cy="428625"/>
    <xdr:pic>
      <xdr:nvPicPr>
        <xdr:cNvPr id="0" name="image205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428625" cy="428625"/>
    <xdr:pic>
      <xdr:nvPicPr>
        <xdr:cNvPr id="0" name="image203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428625" cy="428625"/>
    <xdr:pic>
      <xdr:nvPicPr>
        <xdr:cNvPr id="0" name="image207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7</xdr:row>
      <xdr:rowOff>0</xdr:rowOff>
    </xdr:from>
    <xdr:ext cx="428625" cy="428625"/>
    <xdr:pic>
      <xdr:nvPicPr>
        <xdr:cNvPr id="0" name="image203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428625" cy="428625"/>
    <xdr:pic>
      <xdr:nvPicPr>
        <xdr:cNvPr id="0" name="image203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19100" cy="428625"/>
    <xdr:pic>
      <xdr:nvPicPr>
        <xdr:cNvPr id="0" name="image196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28625" cy="428625"/>
    <xdr:pic>
      <xdr:nvPicPr>
        <xdr:cNvPr id="0" name="image20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428625" cy="428625"/>
    <xdr:pic>
      <xdr:nvPicPr>
        <xdr:cNvPr id="0" name="image206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28625" cy="428625"/>
    <xdr:pic>
      <xdr:nvPicPr>
        <xdr:cNvPr id="0" name="image207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428625" cy="428625"/>
    <xdr:pic>
      <xdr:nvPicPr>
        <xdr:cNvPr id="0" name="image206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428625" cy="428625"/>
    <xdr:pic>
      <xdr:nvPicPr>
        <xdr:cNvPr id="0" name="image207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8</xdr:row>
      <xdr:rowOff>0</xdr:rowOff>
    </xdr:from>
    <xdr:ext cx="428625" cy="428625"/>
    <xdr:pic>
      <xdr:nvPicPr>
        <xdr:cNvPr id="0" name="image206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419100" cy="428625"/>
    <xdr:pic>
      <xdr:nvPicPr>
        <xdr:cNvPr id="0" name="image202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</xdr:row>
      <xdr:rowOff>0</xdr:rowOff>
    </xdr:from>
    <xdr:ext cx="428625" cy="428625"/>
    <xdr:pic>
      <xdr:nvPicPr>
        <xdr:cNvPr id="0" name="image206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</xdr:row>
      <xdr:rowOff>0</xdr:rowOff>
    </xdr:from>
    <xdr:ext cx="428625" cy="428625"/>
    <xdr:pic>
      <xdr:nvPicPr>
        <xdr:cNvPr id="0" name="image206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428625" cy="428625"/>
    <xdr:pic>
      <xdr:nvPicPr>
        <xdr:cNvPr id="0" name="image209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428625" cy="428625"/>
    <xdr:pic>
      <xdr:nvPicPr>
        <xdr:cNvPr id="0" name="image20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8</xdr:row>
      <xdr:rowOff>0</xdr:rowOff>
    </xdr:from>
    <xdr:ext cx="428625" cy="428625"/>
    <xdr:pic>
      <xdr:nvPicPr>
        <xdr:cNvPr id="0" name="image2068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8</xdr:row>
      <xdr:rowOff>0</xdr:rowOff>
    </xdr:from>
    <xdr:ext cx="428625" cy="428625"/>
    <xdr:pic>
      <xdr:nvPicPr>
        <xdr:cNvPr id="0" name="image20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428625" cy="428625"/>
    <xdr:pic>
      <xdr:nvPicPr>
        <xdr:cNvPr id="0" name="image199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19100" cy="428625"/>
    <xdr:pic>
      <xdr:nvPicPr>
        <xdr:cNvPr id="0" name="image196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28625" cy="428625"/>
    <xdr:pic>
      <xdr:nvPicPr>
        <xdr:cNvPr id="0" name="image197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428625" cy="428625"/>
    <xdr:pic>
      <xdr:nvPicPr>
        <xdr:cNvPr id="0" name="image2062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28625" cy="428625"/>
    <xdr:pic>
      <xdr:nvPicPr>
        <xdr:cNvPr id="0" name="image207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428625" cy="428625"/>
    <xdr:pic>
      <xdr:nvPicPr>
        <xdr:cNvPr id="0" name="image210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428625" cy="428625"/>
    <xdr:pic>
      <xdr:nvPicPr>
        <xdr:cNvPr id="0" name="image210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0</xdr:rowOff>
    </xdr:from>
    <xdr:ext cx="428625" cy="428625"/>
    <xdr:pic>
      <xdr:nvPicPr>
        <xdr:cNvPr id="0" name="image198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9</xdr:row>
      <xdr:rowOff>0</xdr:rowOff>
    </xdr:from>
    <xdr:ext cx="428625" cy="428625"/>
    <xdr:pic>
      <xdr:nvPicPr>
        <xdr:cNvPr id="0" name="image207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9</xdr:row>
      <xdr:rowOff>0</xdr:rowOff>
    </xdr:from>
    <xdr:ext cx="428625" cy="428625"/>
    <xdr:pic>
      <xdr:nvPicPr>
        <xdr:cNvPr id="0" name="image20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428625" cy="428625"/>
    <xdr:pic>
      <xdr:nvPicPr>
        <xdr:cNvPr id="0" name="image210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9</xdr:row>
      <xdr:rowOff>0</xdr:rowOff>
    </xdr:from>
    <xdr:ext cx="428625" cy="428625"/>
    <xdr:pic>
      <xdr:nvPicPr>
        <xdr:cNvPr id="0" name="image2074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9</xdr:row>
      <xdr:rowOff>0</xdr:rowOff>
    </xdr:from>
    <xdr:ext cx="428625" cy="428625"/>
    <xdr:pic>
      <xdr:nvPicPr>
        <xdr:cNvPr id="0" name="image20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</xdr:row>
      <xdr:rowOff>0</xdr:rowOff>
    </xdr:from>
    <xdr:ext cx="428625" cy="428625"/>
    <xdr:pic>
      <xdr:nvPicPr>
        <xdr:cNvPr id="0" name="image210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</xdr:row>
      <xdr:rowOff>0</xdr:rowOff>
    </xdr:from>
    <xdr:ext cx="428625" cy="428625"/>
    <xdr:pic>
      <xdr:nvPicPr>
        <xdr:cNvPr id="0" name="image209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428625" cy="428625"/>
    <xdr:pic>
      <xdr:nvPicPr>
        <xdr:cNvPr id="0" name="image20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428625" cy="428625"/>
    <xdr:pic>
      <xdr:nvPicPr>
        <xdr:cNvPr id="0" name="image208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9</xdr:row>
      <xdr:rowOff>0</xdr:rowOff>
    </xdr:from>
    <xdr:ext cx="428625" cy="428625"/>
    <xdr:pic>
      <xdr:nvPicPr>
        <xdr:cNvPr id="0" name="image208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</xdr:row>
      <xdr:rowOff>0</xdr:rowOff>
    </xdr:from>
    <xdr:ext cx="428625" cy="428625"/>
    <xdr:pic>
      <xdr:nvPicPr>
        <xdr:cNvPr id="0" name="image199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9</xdr:row>
      <xdr:rowOff>0</xdr:rowOff>
    </xdr:from>
    <xdr:ext cx="428625" cy="428625"/>
    <xdr:pic>
      <xdr:nvPicPr>
        <xdr:cNvPr id="0" name="image20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428625" cy="428625"/>
    <xdr:pic>
      <xdr:nvPicPr>
        <xdr:cNvPr id="0" name="image208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9</xdr:row>
      <xdr:rowOff>0</xdr:rowOff>
    </xdr:from>
    <xdr:ext cx="428625" cy="428625"/>
    <xdr:pic>
      <xdr:nvPicPr>
        <xdr:cNvPr id="0" name="image199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9</xdr:row>
      <xdr:rowOff>0</xdr:rowOff>
    </xdr:from>
    <xdr:ext cx="428625" cy="428625"/>
    <xdr:pic>
      <xdr:nvPicPr>
        <xdr:cNvPr id="0" name="image20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19100" cy="428625"/>
    <xdr:pic>
      <xdr:nvPicPr>
        <xdr:cNvPr id="0" name="image2011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28625" cy="428625"/>
    <xdr:pic>
      <xdr:nvPicPr>
        <xdr:cNvPr id="0" name="image210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28625" cy="428625"/>
    <xdr:pic>
      <xdr:nvPicPr>
        <xdr:cNvPr id="0" name="image20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428625" cy="428625"/>
    <xdr:pic>
      <xdr:nvPicPr>
        <xdr:cNvPr id="0" name="image2082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428625" cy="428625"/>
    <xdr:pic>
      <xdr:nvPicPr>
        <xdr:cNvPr id="0" name="image20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0</xdr:rowOff>
    </xdr:from>
    <xdr:ext cx="428625" cy="428625"/>
    <xdr:pic>
      <xdr:nvPicPr>
        <xdr:cNvPr id="0" name="image204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428625" cy="428625"/>
    <xdr:pic>
      <xdr:nvPicPr>
        <xdr:cNvPr id="0" name="image2081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10</xdr:row>
      <xdr:rowOff>0</xdr:rowOff>
    </xdr:from>
    <xdr:ext cx="428625" cy="428625"/>
    <xdr:pic>
      <xdr:nvPicPr>
        <xdr:cNvPr id="0" name="image2077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428625" cy="428625"/>
    <xdr:pic>
      <xdr:nvPicPr>
        <xdr:cNvPr id="0" name="image20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</xdr:row>
      <xdr:rowOff>0</xdr:rowOff>
    </xdr:from>
    <xdr:ext cx="428625" cy="428625"/>
    <xdr:pic>
      <xdr:nvPicPr>
        <xdr:cNvPr id="0" name="image208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</xdr:row>
      <xdr:rowOff>0</xdr:rowOff>
    </xdr:from>
    <xdr:ext cx="428625" cy="428625"/>
    <xdr:pic>
      <xdr:nvPicPr>
        <xdr:cNvPr id="0" name="image2081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10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428625" cy="428625"/>
    <xdr:pic>
      <xdr:nvPicPr>
        <xdr:cNvPr id="0" name="image202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428625" cy="428625"/>
    <xdr:pic>
      <xdr:nvPicPr>
        <xdr:cNvPr id="0" name="image203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10</xdr:row>
      <xdr:rowOff>0</xdr:rowOff>
    </xdr:from>
    <xdr:ext cx="428625" cy="428625"/>
    <xdr:pic>
      <xdr:nvPicPr>
        <xdr:cNvPr id="0" name="image20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10</xdr:row>
      <xdr:rowOff>0</xdr:rowOff>
    </xdr:from>
    <xdr:ext cx="428625" cy="428625"/>
    <xdr:pic>
      <xdr:nvPicPr>
        <xdr:cNvPr id="0" name="image208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10</xdr:row>
      <xdr:rowOff>0</xdr:rowOff>
    </xdr:from>
    <xdr:ext cx="428625" cy="428625"/>
    <xdr:pic>
      <xdr:nvPicPr>
        <xdr:cNvPr id="0" name="image202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428625" cy="428625"/>
    <xdr:pic>
      <xdr:nvPicPr>
        <xdr:cNvPr id="0" name="image203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10</xdr:row>
      <xdr:rowOff>0</xdr:rowOff>
    </xdr:from>
    <xdr:ext cx="428625" cy="428625"/>
    <xdr:pic>
      <xdr:nvPicPr>
        <xdr:cNvPr id="0" name="image208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28625" cy="428625"/>
    <xdr:pic>
      <xdr:nvPicPr>
        <xdr:cNvPr id="0" name="image197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428625" cy="428625"/>
    <xdr:pic>
      <xdr:nvPicPr>
        <xdr:cNvPr id="0" name="image210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428625" cy="428625"/>
    <xdr:pic>
      <xdr:nvPicPr>
        <xdr:cNvPr id="0" name="image20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428625" cy="428625"/>
    <xdr:pic>
      <xdr:nvPicPr>
        <xdr:cNvPr id="0" name="image214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11</xdr:row>
      <xdr:rowOff>0</xdr:rowOff>
    </xdr:from>
    <xdr:ext cx="428625" cy="428625"/>
    <xdr:pic>
      <xdr:nvPicPr>
        <xdr:cNvPr id="0" name="image2147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11</xdr:row>
      <xdr:rowOff>0</xdr:rowOff>
    </xdr:from>
    <xdr:ext cx="428625" cy="428625"/>
    <xdr:pic>
      <xdr:nvPicPr>
        <xdr:cNvPr id="0" name="image200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</xdr:row>
      <xdr:rowOff>0</xdr:rowOff>
    </xdr:from>
    <xdr:ext cx="428625" cy="428625"/>
    <xdr:pic>
      <xdr:nvPicPr>
        <xdr:cNvPr id="0" name="image2087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11</xdr:row>
      <xdr:rowOff>0</xdr:rowOff>
    </xdr:from>
    <xdr:ext cx="428625" cy="428625"/>
    <xdr:pic>
      <xdr:nvPicPr>
        <xdr:cNvPr id="0" name="image214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11</xdr:row>
      <xdr:rowOff>0</xdr:rowOff>
    </xdr:from>
    <xdr:ext cx="428625" cy="428625"/>
    <xdr:pic>
      <xdr:nvPicPr>
        <xdr:cNvPr id="0" name="image208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11</xdr:row>
      <xdr:rowOff>0</xdr:rowOff>
    </xdr:from>
    <xdr:ext cx="428625" cy="428625"/>
    <xdr:pic>
      <xdr:nvPicPr>
        <xdr:cNvPr id="0" name="image201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11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428625" cy="428625"/>
    <xdr:pic>
      <xdr:nvPicPr>
        <xdr:cNvPr id="0" name="image2089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428625" cy="428625"/>
    <xdr:pic>
      <xdr:nvPicPr>
        <xdr:cNvPr id="0" name="image207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11</xdr:row>
      <xdr:rowOff>0</xdr:rowOff>
    </xdr:from>
    <xdr:ext cx="428625" cy="428625"/>
    <xdr:pic>
      <xdr:nvPicPr>
        <xdr:cNvPr id="0" name="image2086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11</xdr:row>
      <xdr:rowOff>0</xdr:rowOff>
    </xdr:from>
    <xdr:ext cx="428625" cy="428625"/>
    <xdr:pic>
      <xdr:nvPicPr>
        <xdr:cNvPr id="0" name="image20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11</xdr:row>
      <xdr:rowOff>0</xdr:rowOff>
    </xdr:from>
    <xdr:ext cx="428625" cy="428625"/>
    <xdr:pic>
      <xdr:nvPicPr>
        <xdr:cNvPr id="0" name="image200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428625" cy="428625"/>
    <xdr:pic>
      <xdr:nvPicPr>
        <xdr:cNvPr id="0" name="image205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19100" cy="428625"/>
    <xdr:pic>
      <xdr:nvPicPr>
        <xdr:cNvPr id="0" name="image19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28625" cy="428625"/>
    <xdr:pic>
      <xdr:nvPicPr>
        <xdr:cNvPr id="0" name="image2091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428625" cy="428625"/>
    <xdr:pic>
      <xdr:nvPicPr>
        <xdr:cNvPr id="0" name="image204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28625" cy="428625"/>
    <xdr:pic>
      <xdr:nvPicPr>
        <xdr:cNvPr id="0" name="image210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428625" cy="428625"/>
    <xdr:pic>
      <xdr:nvPicPr>
        <xdr:cNvPr id="0" name="image210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28625" cy="428625"/>
    <xdr:pic>
      <xdr:nvPicPr>
        <xdr:cNvPr id="0" name="image2095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0</xdr:rowOff>
    </xdr:from>
    <xdr:ext cx="428625" cy="428625"/>
    <xdr:pic>
      <xdr:nvPicPr>
        <xdr:cNvPr id="0" name="image204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428625" cy="428625"/>
    <xdr:pic>
      <xdr:nvPicPr>
        <xdr:cNvPr id="0" name="image210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428625" cy="428625"/>
    <xdr:pic>
      <xdr:nvPicPr>
        <xdr:cNvPr id="0" name="image210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12</xdr:row>
      <xdr:rowOff>0</xdr:rowOff>
    </xdr:from>
    <xdr:ext cx="428625" cy="428625"/>
    <xdr:pic>
      <xdr:nvPicPr>
        <xdr:cNvPr id="0" name="image214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</xdr:row>
      <xdr:rowOff>0</xdr:rowOff>
    </xdr:from>
    <xdr:ext cx="419100" cy="428625"/>
    <xdr:pic>
      <xdr:nvPicPr>
        <xdr:cNvPr id="0" name="image19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12</xdr:row>
      <xdr:rowOff>0</xdr:rowOff>
    </xdr:from>
    <xdr:ext cx="428625" cy="428625"/>
    <xdr:pic>
      <xdr:nvPicPr>
        <xdr:cNvPr id="0" name="image210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</xdr:row>
      <xdr:rowOff>0</xdr:rowOff>
    </xdr:from>
    <xdr:ext cx="428625" cy="428625"/>
    <xdr:pic>
      <xdr:nvPicPr>
        <xdr:cNvPr id="0" name="image2107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12</xdr:row>
      <xdr:rowOff>0</xdr:rowOff>
    </xdr:from>
    <xdr:ext cx="428625" cy="428625"/>
    <xdr:pic>
      <xdr:nvPicPr>
        <xdr:cNvPr id="0" name="image200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428625" cy="428625"/>
    <xdr:pic>
      <xdr:nvPicPr>
        <xdr:cNvPr id="0" name="image211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428625" cy="428625"/>
    <xdr:pic>
      <xdr:nvPicPr>
        <xdr:cNvPr id="0" name="image2099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12</xdr:row>
      <xdr:rowOff>0</xdr:rowOff>
    </xdr:from>
    <xdr:ext cx="428625" cy="428625"/>
    <xdr:pic>
      <xdr:nvPicPr>
        <xdr:cNvPr id="0" name="image20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12</xdr:row>
      <xdr:rowOff>0</xdr:rowOff>
    </xdr:from>
    <xdr:ext cx="428625" cy="428625"/>
    <xdr:pic>
      <xdr:nvPicPr>
        <xdr:cNvPr id="0" name="image2093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12</xdr:row>
      <xdr:rowOff>0</xdr:rowOff>
    </xdr:from>
    <xdr:ext cx="428625" cy="428625"/>
    <xdr:pic>
      <xdr:nvPicPr>
        <xdr:cNvPr id="0" name="image2099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428625" cy="428625"/>
    <xdr:pic>
      <xdr:nvPicPr>
        <xdr:cNvPr id="0" name="image205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28625" cy="428625"/>
    <xdr:pic>
      <xdr:nvPicPr>
        <xdr:cNvPr id="0" name="image1983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28625" cy="428625"/>
    <xdr:pic>
      <xdr:nvPicPr>
        <xdr:cNvPr id="0" name="image2091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428625" cy="428625"/>
    <xdr:pic>
      <xdr:nvPicPr>
        <xdr:cNvPr id="0" name="image209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428625" cy="428625"/>
    <xdr:pic>
      <xdr:nvPicPr>
        <xdr:cNvPr id="0" name="image2104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428625" cy="428625"/>
    <xdr:pic>
      <xdr:nvPicPr>
        <xdr:cNvPr id="0" name="image2095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428625" cy="428625"/>
    <xdr:pic>
      <xdr:nvPicPr>
        <xdr:cNvPr id="0" name="image2098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</xdr:row>
      <xdr:rowOff>0</xdr:rowOff>
    </xdr:from>
    <xdr:ext cx="428625" cy="428625"/>
    <xdr:pic>
      <xdr:nvPicPr>
        <xdr:cNvPr id="0" name="image2116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13</xdr:row>
      <xdr:rowOff>0</xdr:rowOff>
    </xdr:from>
    <xdr:ext cx="428625" cy="428625"/>
    <xdr:pic>
      <xdr:nvPicPr>
        <xdr:cNvPr id="0" name="image202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</xdr:row>
      <xdr:rowOff>0</xdr:rowOff>
    </xdr:from>
    <xdr:ext cx="428625" cy="428625"/>
    <xdr:pic>
      <xdr:nvPicPr>
        <xdr:cNvPr id="0" name="image209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13</xdr:row>
      <xdr:rowOff>0</xdr:rowOff>
    </xdr:from>
    <xdr:ext cx="428625" cy="428625"/>
    <xdr:pic>
      <xdr:nvPicPr>
        <xdr:cNvPr id="0" name="image202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13</xdr:row>
      <xdr:rowOff>0</xdr:rowOff>
    </xdr:from>
    <xdr:ext cx="428625" cy="428625"/>
    <xdr:pic>
      <xdr:nvPicPr>
        <xdr:cNvPr id="0" name="image209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13</xdr:row>
      <xdr:rowOff>0</xdr:rowOff>
    </xdr:from>
    <xdr:ext cx="428625" cy="428625"/>
    <xdr:pic>
      <xdr:nvPicPr>
        <xdr:cNvPr id="0" name="image2116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13</xdr:row>
      <xdr:rowOff>0</xdr:rowOff>
    </xdr:from>
    <xdr:ext cx="428625" cy="428625"/>
    <xdr:pic>
      <xdr:nvPicPr>
        <xdr:cNvPr id="0" name="image2107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428625" cy="428625"/>
    <xdr:pic>
      <xdr:nvPicPr>
        <xdr:cNvPr id="0" name="image2106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428625" cy="428625"/>
    <xdr:pic>
      <xdr:nvPicPr>
        <xdr:cNvPr id="0" name="image2114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13</xdr:row>
      <xdr:rowOff>0</xdr:rowOff>
    </xdr:from>
    <xdr:ext cx="428625" cy="428625"/>
    <xdr:pic>
      <xdr:nvPicPr>
        <xdr:cNvPr id="0" name="image212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13</xdr:row>
      <xdr:rowOff>0</xdr:rowOff>
    </xdr:from>
    <xdr:ext cx="428625" cy="428625"/>
    <xdr:pic>
      <xdr:nvPicPr>
        <xdr:cNvPr id="0" name="image207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13</xdr:row>
      <xdr:rowOff>0</xdr:rowOff>
    </xdr:from>
    <xdr:ext cx="428625" cy="428625"/>
    <xdr:pic>
      <xdr:nvPicPr>
        <xdr:cNvPr id="0" name="image2145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19100" cy="428625"/>
    <xdr:pic>
      <xdr:nvPicPr>
        <xdr:cNvPr id="0" name="image1964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28625" cy="428625"/>
    <xdr:pic>
      <xdr:nvPicPr>
        <xdr:cNvPr id="0" name="image197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428625" cy="428625"/>
    <xdr:pic>
      <xdr:nvPicPr>
        <xdr:cNvPr id="0" name="image2062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28625" cy="428625"/>
    <xdr:pic>
      <xdr:nvPicPr>
        <xdr:cNvPr id="0" name="image213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28625" cy="428625"/>
    <xdr:pic>
      <xdr:nvPicPr>
        <xdr:cNvPr id="0" name="image20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428625" cy="428625"/>
    <xdr:pic>
      <xdr:nvPicPr>
        <xdr:cNvPr id="0" name="image203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</xdr:row>
      <xdr:rowOff>0</xdr:rowOff>
    </xdr:from>
    <xdr:ext cx="428625" cy="428625"/>
    <xdr:pic>
      <xdr:nvPicPr>
        <xdr:cNvPr id="0" name="image213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14</xdr:row>
      <xdr:rowOff>0</xdr:rowOff>
    </xdr:from>
    <xdr:ext cx="419100" cy="428625"/>
    <xdr:pic>
      <xdr:nvPicPr>
        <xdr:cNvPr id="0" name="image1964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14</xdr:row>
      <xdr:rowOff>0</xdr:rowOff>
    </xdr:from>
    <xdr:ext cx="428625" cy="428625"/>
    <xdr:pic>
      <xdr:nvPicPr>
        <xdr:cNvPr id="0" name="image203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428625" cy="428625"/>
    <xdr:pic>
      <xdr:nvPicPr>
        <xdr:cNvPr id="0" name="image202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428625" cy="428625"/>
    <xdr:pic>
      <xdr:nvPicPr>
        <xdr:cNvPr id="0" name="image211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14</xdr:row>
      <xdr:rowOff>0</xdr:rowOff>
    </xdr:from>
    <xdr:ext cx="428625" cy="428625"/>
    <xdr:pic>
      <xdr:nvPicPr>
        <xdr:cNvPr id="0" name="image2117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14</xdr:row>
      <xdr:rowOff>0</xdr:rowOff>
    </xdr:from>
    <xdr:ext cx="428625" cy="428625"/>
    <xdr:pic>
      <xdr:nvPicPr>
        <xdr:cNvPr id="0" name="image2110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428625" cy="428625"/>
    <xdr:pic>
      <xdr:nvPicPr>
        <xdr:cNvPr id="0" name="image200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28625" cy="428625"/>
    <xdr:pic>
      <xdr:nvPicPr>
        <xdr:cNvPr id="0" name="image204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428625" cy="428625"/>
    <xdr:pic>
      <xdr:nvPicPr>
        <xdr:cNvPr id="0" name="image20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428625" cy="428625"/>
    <xdr:pic>
      <xdr:nvPicPr>
        <xdr:cNvPr id="0" name="image2113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28625" cy="428625"/>
    <xdr:pic>
      <xdr:nvPicPr>
        <xdr:cNvPr id="0" name="image202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428625" cy="428625"/>
    <xdr:pic>
      <xdr:nvPicPr>
        <xdr:cNvPr id="0" name="image2113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428625" cy="428625"/>
    <xdr:pic>
      <xdr:nvPicPr>
        <xdr:cNvPr id="0" name="image202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15</xdr:row>
      <xdr:rowOff>0</xdr:rowOff>
    </xdr:from>
    <xdr:ext cx="428625" cy="428625"/>
    <xdr:pic>
      <xdr:nvPicPr>
        <xdr:cNvPr id="0" name="image204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15</xdr:row>
      <xdr:rowOff>0</xdr:rowOff>
    </xdr:from>
    <xdr:ext cx="428625" cy="428625"/>
    <xdr:pic>
      <xdr:nvPicPr>
        <xdr:cNvPr id="0" name="image201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</xdr:row>
      <xdr:rowOff>0</xdr:rowOff>
    </xdr:from>
    <xdr:ext cx="428625" cy="428625"/>
    <xdr:pic>
      <xdr:nvPicPr>
        <xdr:cNvPr id="0" name="image2123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15</xdr:row>
      <xdr:rowOff>0</xdr:rowOff>
    </xdr:from>
    <xdr:ext cx="428625" cy="428625"/>
    <xdr:pic>
      <xdr:nvPicPr>
        <xdr:cNvPr id="0" name="image2111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428625" cy="428625"/>
    <xdr:pic>
      <xdr:nvPicPr>
        <xdr:cNvPr id="0" name="image211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15</xdr:row>
      <xdr:rowOff>0</xdr:rowOff>
    </xdr:from>
    <xdr:ext cx="428625" cy="428625"/>
    <xdr:pic>
      <xdr:nvPicPr>
        <xdr:cNvPr id="0" name="image2111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28625" cy="428625"/>
    <xdr:pic>
      <xdr:nvPicPr>
        <xdr:cNvPr id="0" name="image203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28625" cy="428625"/>
    <xdr:pic>
      <xdr:nvPicPr>
        <xdr:cNvPr id="0" name="image2118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428625" cy="428625"/>
    <xdr:pic>
      <xdr:nvPicPr>
        <xdr:cNvPr id="0" name="image213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28625" cy="428625"/>
    <xdr:pic>
      <xdr:nvPicPr>
        <xdr:cNvPr id="0" name="image2118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428625" cy="428625"/>
    <xdr:pic>
      <xdr:nvPicPr>
        <xdr:cNvPr id="0" name="image213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428625" cy="428625"/>
    <xdr:pic>
      <xdr:nvPicPr>
        <xdr:cNvPr id="0" name="image2122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428625" cy="428625"/>
    <xdr:pic>
      <xdr:nvPicPr>
        <xdr:cNvPr id="0" name="image2121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16</xdr:row>
      <xdr:rowOff>0</xdr:rowOff>
    </xdr:from>
    <xdr:ext cx="428625" cy="428625"/>
    <xdr:pic>
      <xdr:nvPicPr>
        <xdr:cNvPr id="0" name="image203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16</xdr:row>
      <xdr:rowOff>0</xdr:rowOff>
    </xdr:from>
    <xdr:ext cx="428625" cy="428625"/>
    <xdr:pic>
      <xdr:nvPicPr>
        <xdr:cNvPr id="0" name="image2121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</xdr:row>
      <xdr:rowOff>0</xdr:rowOff>
    </xdr:from>
    <xdr:ext cx="428625" cy="428625"/>
    <xdr:pic>
      <xdr:nvPicPr>
        <xdr:cNvPr id="0" name="image2122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16</xdr:row>
      <xdr:rowOff>0</xdr:rowOff>
    </xdr:from>
    <xdr:ext cx="428625" cy="428625"/>
    <xdr:pic>
      <xdr:nvPicPr>
        <xdr:cNvPr id="0" name="image202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16</xdr:row>
      <xdr:rowOff>0</xdr:rowOff>
    </xdr:from>
    <xdr:ext cx="428625" cy="428625"/>
    <xdr:pic>
      <xdr:nvPicPr>
        <xdr:cNvPr id="0" name="image203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16</xdr:row>
      <xdr:rowOff>0</xdr:rowOff>
    </xdr:from>
    <xdr:ext cx="428625" cy="428625"/>
    <xdr:pic>
      <xdr:nvPicPr>
        <xdr:cNvPr id="0" name="image203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28625" cy="428625"/>
    <xdr:pic>
      <xdr:nvPicPr>
        <xdr:cNvPr id="0" name="image20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428625" cy="428625"/>
    <xdr:pic>
      <xdr:nvPicPr>
        <xdr:cNvPr id="0" name="image2146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428625" cy="428625"/>
    <xdr:pic>
      <xdr:nvPicPr>
        <xdr:cNvPr id="0" name="image2135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428625" cy="428625"/>
    <xdr:pic>
      <xdr:nvPicPr>
        <xdr:cNvPr id="0" name="image199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428625" cy="428625"/>
    <xdr:pic>
      <xdr:nvPicPr>
        <xdr:cNvPr id="0" name="image213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28625" cy="428625"/>
    <xdr:pic>
      <xdr:nvPicPr>
        <xdr:cNvPr id="0" name="image2146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428625" cy="428625"/>
    <xdr:pic>
      <xdr:nvPicPr>
        <xdr:cNvPr id="0" name="image213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</xdr:row>
      <xdr:rowOff>0</xdr:rowOff>
    </xdr:from>
    <xdr:ext cx="428625" cy="428625"/>
    <xdr:pic>
      <xdr:nvPicPr>
        <xdr:cNvPr id="0" name="image211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17</xdr:row>
      <xdr:rowOff>0</xdr:rowOff>
    </xdr:from>
    <xdr:ext cx="428625" cy="428625"/>
    <xdr:pic>
      <xdr:nvPicPr>
        <xdr:cNvPr id="0" name="image20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</xdr:row>
      <xdr:rowOff>0</xdr:rowOff>
    </xdr:from>
    <xdr:ext cx="428625" cy="428625"/>
    <xdr:pic>
      <xdr:nvPicPr>
        <xdr:cNvPr id="0" name="image201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17</xdr:row>
      <xdr:rowOff>0</xdr:rowOff>
    </xdr:from>
    <xdr:ext cx="428625" cy="428625"/>
    <xdr:pic>
      <xdr:nvPicPr>
        <xdr:cNvPr id="0" name="image201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17</xdr:row>
      <xdr:rowOff>0</xdr:rowOff>
    </xdr:from>
    <xdr:ext cx="428625" cy="428625"/>
    <xdr:pic>
      <xdr:nvPicPr>
        <xdr:cNvPr id="0" name="image2134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17</xdr:row>
      <xdr:rowOff>0</xdr:rowOff>
    </xdr:from>
    <xdr:ext cx="428625" cy="428625"/>
    <xdr:pic>
      <xdr:nvPicPr>
        <xdr:cNvPr id="0" name="image200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17</xdr:row>
      <xdr:rowOff>0</xdr:rowOff>
    </xdr:from>
    <xdr:ext cx="428625" cy="428625"/>
    <xdr:pic>
      <xdr:nvPicPr>
        <xdr:cNvPr id="0" name="image201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17</xdr:row>
      <xdr:rowOff>0</xdr:rowOff>
    </xdr:from>
    <xdr:ext cx="428625" cy="428625"/>
    <xdr:pic>
      <xdr:nvPicPr>
        <xdr:cNvPr id="0" name="image200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28625" cy="428625"/>
    <xdr:pic>
      <xdr:nvPicPr>
        <xdr:cNvPr id="0" name="image195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28625" cy="428625"/>
    <xdr:pic>
      <xdr:nvPicPr>
        <xdr:cNvPr id="0" name="image2091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428625" cy="428625"/>
    <xdr:pic>
      <xdr:nvPicPr>
        <xdr:cNvPr id="0" name="image199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428625" cy="428625"/>
    <xdr:pic>
      <xdr:nvPicPr>
        <xdr:cNvPr id="0" name="image2124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428625" cy="428625"/>
    <xdr:pic>
      <xdr:nvPicPr>
        <xdr:cNvPr id="0" name="image2095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428625" cy="428625"/>
    <xdr:pic>
      <xdr:nvPicPr>
        <xdr:cNvPr id="0" name="image2120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18</xdr:row>
      <xdr:rowOff>0</xdr:rowOff>
    </xdr:from>
    <xdr:ext cx="428625" cy="428625"/>
    <xdr:pic>
      <xdr:nvPicPr>
        <xdr:cNvPr id="0" name="image212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</xdr:row>
      <xdr:rowOff>0</xdr:rowOff>
    </xdr:from>
    <xdr:ext cx="428625" cy="428625"/>
    <xdr:pic>
      <xdr:nvPicPr>
        <xdr:cNvPr id="0" name="image212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18</xdr:row>
      <xdr:rowOff>0</xdr:rowOff>
    </xdr:from>
    <xdr:ext cx="428625" cy="428625"/>
    <xdr:pic>
      <xdr:nvPicPr>
        <xdr:cNvPr id="0" name="image2140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18</xdr:row>
      <xdr:rowOff>0</xdr:rowOff>
    </xdr:from>
    <xdr:ext cx="428625" cy="428625"/>
    <xdr:pic>
      <xdr:nvPicPr>
        <xdr:cNvPr id="0" name="image2107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18</xdr:row>
      <xdr:rowOff>0</xdr:rowOff>
    </xdr:from>
    <xdr:ext cx="428625" cy="428625"/>
    <xdr:pic>
      <xdr:nvPicPr>
        <xdr:cNvPr id="0" name="image2130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18</xdr:row>
      <xdr:rowOff>0</xdr:rowOff>
    </xdr:from>
    <xdr:ext cx="428625" cy="428625"/>
    <xdr:pic>
      <xdr:nvPicPr>
        <xdr:cNvPr id="0" name="image2129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18</xdr:row>
      <xdr:rowOff>0</xdr:rowOff>
    </xdr:from>
    <xdr:ext cx="428625" cy="428625"/>
    <xdr:pic>
      <xdr:nvPicPr>
        <xdr:cNvPr id="0" name="image2126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18</xdr:row>
      <xdr:rowOff>0</xdr:rowOff>
    </xdr:from>
    <xdr:ext cx="428625" cy="428625"/>
    <xdr:pic>
      <xdr:nvPicPr>
        <xdr:cNvPr id="0" name="image2129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28625" cy="428625"/>
    <xdr:pic>
      <xdr:nvPicPr>
        <xdr:cNvPr id="0" name="image206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28625" cy="428625"/>
    <xdr:pic>
      <xdr:nvPicPr>
        <xdr:cNvPr id="0" name="image2141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428625" cy="428625"/>
    <xdr:pic>
      <xdr:nvPicPr>
        <xdr:cNvPr id="0" name="image213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28625" cy="428625"/>
    <xdr:pic>
      <xdr:nvPicPr>
        <xdr:cNvPr id="0" name="image202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428625" cy="428625"/>
    <xdr:pic>
      <xdr:nvPicPr>
        <xdr:cNvPr id="0" name="image2142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28625" cy="428625"/>
    <xdr:pic>
      <xdr:nvPicPr>
        <xdr:cNvPr id="0" name="image213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428625" cy="428625"/>
    <xdr:pic>
      <xdr:nvPicPr>
        <xdr:cNvPr id="0" name="image2139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428625" cy="428625"/>
    <xdr:pic>
      <xdr:nvPicPr>
        <xdr:cNvPr id="0" name="image2142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19</xdr:row>
      <xdr:rowOff>0</xdr:rowOff>
    </xdr:from>
    <xdr:ext cx="428625" cy="428625"/>
    <xdr:pic>
      <xdr:nvPicPr>
        <xdr:cNvPr id="0" name="image2136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19</xdr:row>
      <xdr:rowOff>0</xdr:rowOff>
    </xdr:from>
    <xdr:ext cx="428625" cy="428625"/>
    <xdr:pic>
      <xdr:nvPicPr>
        <xdr:cNvPr id="0" name="image2138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19</xdr:row>
      <xdr:rowOff>0</xdr:rowOff>
    </xdr:from>
    <xdr:ext cx="428625" cy="428625"/>
    <xdr:pic>
      <xdr:nvPicPr>
        <xdr:cNvPr id="0" name="image2137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19</xdr:row>
      <xdr:rowOff>0</xdr:rowOff>
    </xdr:from>
    <xdr:ext cx="428625" cy="428625"/>
    <xdr:pic>
      <xdr:nvPicPr>
        <xdr:cNvPr id="0" name="image213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19</xdr:row>
      <xdr:rowOff>0</xdr:rowOff>
    </xdr:from>
    <xdr:ext cx="428625" cy="428625"/>
    <xdr:pic>
      <xdr:nvPicPr>
        <xdr:cNvPr id="0" name="image2144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19</xdr:row>
      <xdr:rowOff>0</xdr:rowOff>
    </xdr:from>
    <xdr:ext cx="428625" cy="428625"/>
    <xdr:pic>
      <xdr:nvPicPr>
        <xdr:cNvPr id="0" name="image2137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19</xdr:row>
      <xdr:rowOff>0</xdr:rowOff>
    </xdr:from>
    <xdr:ext cx="428625" cy="428625"/>
    <xdr:pic>
      <xdr:nvPicPr>
        <xdr:cNvPr id="0" name="image2137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9" displayName="Table_1" name="Table_1" id="1">
  <tableColumns count="2">
    <tableColumn name="DATE" id="1"/>
    <tableColumn name="DESCRIPTION" id="2"/>
  </tableColumns>
  <tableStyleInfo name="Changelog (old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axvbLx7UoSZaBqdFr1u32F2uWVLo-CJunJB4nlGUE4/edit?gid=1038486120" TargetMode="External"/><Relationship Id="rId2" Type="http://schemas.openxmlformats.org/officeDocument/2006/relationships/hyperlink" Target="https://docs.google.com/spreadsheets/d/1l3xBHFa6ZMe86e13segg8f-RB8vLNerYEgNC_Aq3kLc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hcs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public.tableau.com/views/archetypes_17247071323840/dps?:language=en-US&amp;publish=yes&amp;:sid=&amp;:redirect=auth&amp;:display_count=n&amp;:origin=viz_share_link" TargetMode="External"/><Relationship Id="rId3" Type="http://schemas.openxmlformats.org/officeDocument/2006/relationships/drawing" Target="../drawings/drawing9.xml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public.tableau.com/views/archetypes_17247071323840/dps?:language=en-US&amp;publish=yes&amp;:sid=&amp;:redirect=auth&amp;:display_count=n&amp;:origin=viz_share_link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8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9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0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2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18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19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20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21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22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23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24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  <col customWidth="1" min="4" max="4" width="7.13"/>
    <col customWidth="1" min="5" max="5" width="7.88"/>
    <col customWidth="1" min="6" max="6" width="8.13"/>
    <col customWidth="1" min="7" max="9" width="8.2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28102.0</v>
      </c>
      <c r="E2" s="3">
        <v>0.516</v>
      </c>
      <c r="F2" s="2">
        <v>19.0</v>
      </c>
      <c r="G2" s="2">
        <f t="shared" ref="G2:G67" si="1">IFERROR(ROUND(D2/E2,0),"N/A")</f>
        <v>54461</v>
      </c>
      <c r="H2" s="2">
        <f t="shared" ref="H2:H67" si="2">IFERROR(D2*F2,"N/A")</f>
        <v>533938</v>
      </c>
      <c r="I2" s="4" t="s">
        <v>12</v>
      </c>
    </row>
    <row r="3">
      <c r="A3" s="2" t="s">
        <v>9</v>
      </c>
      <c r="B3" s="2" t="s">
        <v>10</v>
      </c>
      <c r="C3" s="2" t="s">
        <v>13</v>
      </c>
      <c r="D3" s="2">
        <v>33003.0</v>
      </c>
      <c r="E3" s="3">
        <v>0.508</v>
      </c>
      <c r="F3" s="2">
        <v>19.0</v>
      </c>
      <c r="G3" s="2">
        <f t="shared" si="1"/>
        <v>64967</v>
      </c>
      <c r="H3" s="2">
        <f t="shared" si="2"/>
        <v>627057</v>
      </c>
      <c r="I3" s="4" t="s">
        <v>12</v>
      </c>
    </row>
    <row r="4">
      <c r="A4" s="2" t="s">
        <v>9</v>
      </c>
      <c r="B4" s="2" t="s">
        <v>10</v>
      </c>
      <c r="C4" s="2" t="s">
        <v>14</v>
      </c>
      <c r="D4" s="2">
        <v>26534.0</v>
      </c>
      <c r="E4" s="3">
        <v>0.4</v>
      </c>
      <c r="F4" s="2">
        <v>23.0</v>
      </c>
      <c r="G4" s="2">
        <f t="shared" si="1"/>
        <v>66335</v>
      </c>
      <c r="H4" s="2">
        <f t="shared" si="2"/>
        <v>610282</v>
      </c>
      <c r="I4" s="4" t="s">
        <v>12</v>
      </c>
    </row>
    <row r="5">
      <c r="A5" s="2" t="s">
        <v>9</v>
      </c>
      <c r="B5" s="2" t="s">
        <v>15</v>
      </c>
      <c r="C5" s="2" t="s">
        <v>16</v>
      </c>
      <c r="D5" s="2">
        <v>48027.0</v>
      </c>
      <c r="E5" s="3">
        <v>1.416</v>
      </c>
      <c r="F5" s="2">
        <v>23.0</v>
      </c>
      <c r="G5" s="2">
        <f t="shared" si="1"/>
        <v>33917</v>
      </c>
      <c r="H5" s="2">
        <f t="shared" si="2"/>
        <v>1104621</v>
      </c>
      <c r="I5" s="4" t="s">
        <v>12</v>
      </c>
    </row>
    <row r="6">
      <c r="A6" s="2" t="s">
        <v>9</v>
      </c>
      <c r="B6" s="2" t="s">
        <v>15</v>
      </c>
      <c r="C6" s="2" t="s">
        <v>17</v>
      </c>
      <c r="D6" s="2">
        <v>33409.0</v>
      </c>
      <c r="E6" s="3">
        <v>1.066</v>
      </c>
      <c r="F6" s="2">
        <v>23.0</v>
      </c>
      <c r="G6" s="2">
        <f t="shared" si="1"/>
        <v>31341</v>
      </c>
      <c r="H6" s="2">
        <f t="shared" si="2"/>
        <v>768407</v>
      </c>
      <c r="I6" s="4" t="s">
        <v>12</v>
      </c>
    </row>
    <row r="7">
      <c r="A7" s="2" t="s">
        <v>9</v>
      </c>
      <c r="B7" s="2" t="s">
        <v>18</v>
      </c>
      <c r="C7" s="2" t="s">
        <v>13</v>
      </c>
      <c r="D7" s="2">
        <v>3441.0</v>
      </c>
      <c r="E7" s="3">
        <v>0.133</v>
      </c>
      <c r="F7" s="2">
        <v>455.0</v>
      </c>
      <c r="G7" s="2">
        <f t="shared" si="1"/>
        <v>25872</v>
      </c>
      <c r="H7" s="2">
        <f t="shared" si="2"/>
        <v>1565655</v>
      </c>
      <c r="I7" s="4">
        <v>47.67</v>
      </c>
    </row>
    <row r="8">
      <c r="A8" s="2" t="s">
        <v>9</v>
      </c>
      <c r="B8" s="2" t="s">
        <v>18</v>
      </c>
      <c r="C8" s="2" t="s">
        <v>19</v>
      </c>
      <c r="D8" s="2">
        <v>3977.0</v>
      </c>
      <c r="E8" s="3">
        <v>0.167</v>
      </c>
      <c r="F8" s="2">
        <v>451.0</v>
      </c>
      <c r="G8" s="2">
        <f t="shared" si="1"/>
        <v>23814</v>
      </c>
      <c r="H8" s="2">
        <f t="shared" si="2"/>
        <v>1793627</v>
      </c>
      <c r="I8" s="4">
        <v>47.85</v>
      </c>
    </row>
    <row r="9">
      <c r="A9" s="2" t="s">
        <v>9</v>
      </c>
      <c r="B9" s="2" t="s">
        <v>18</v>
      </c>
      <c r="C9" s="2" t="s">
        <v>14</v>
      </c>
      <c r="D9" s="2">
        <v>2000.0</v>
      </c>
      <c r="E9" s="3">
        <v>0.067</v>
      </c>
      <c r="F9" s="2">
        <v>698.0</v>
      </c>
      <c r="G9" s="2">
        <f t="shared" si="1"/>
        <v>29851</v>
      </c>
      <c r="H9" s="2">
        <f t="shared" si="2"/>
        <v>1396000</v>
      </c>
      <c r="I9" s="4">
        <v>46.42</v>
      </c>
    </row>
    <row r="10">
      <c r="A10" s="2" t="s">
        <v>9</v>
      </c>
      <c r="B10" s="2" t="s">
        <v>20</v>
      </c>
      <c r="C10" s="2" t="s">
        <v>16</v>
      </c>
      <c r="D10" s="2">
        <v>72339.0</v>
      </c>
      <c r="E10" s="3">
        <v>1.083</v>
      </c>
      <c r="F10" s="2">
        <v>10.0</v>
      </c>
      <c r="G10" s="2">
        <f t="shared" si="1"/>
        <v>66795</v>
      </c>
      <c r="H10" s="2">
        <f t="shared" si="2"/>
        <v>723390</v>
      </c>
      <c r="I10" s="4" t="s">
        <v>12</v>
      </c>
    </row>
    <row r="11">
      <c r="A11" s="2" t="s">
        <v>9</v>
      </c>
      <c r="B11" s="2" t="s">
        <v>20</v>
      </c>
      <c r="C11" s="2" t="s">
        <v>17</v>
      </c>
      <c r="D11" s="2">
        <v>59185.0</v>
      </c>
      <c r="E11" s="3">
        <v>1.4</v>
      </c>
      <c r="F11" s="2">
        <v>10.0</v>
      </c>
      <c r="G11" s="2">
        <f t="shared" si="1"/>
        <v>42275</v>
      </c>
      <c r="H11" s="2">
        <f t="shared" si="2"/>
        <v>591850</v>
      </c>
      <c r="I11" s="4" t="s">
        <v>12</v>
      </c>
    </row>
    <row r="12">
      <c r="A12" s="2" t="s">
        <v>9</v>
      </c>
      <c r="B12" s="2" t="s">
        <v>20</v>
      </c>
      <c r="C12" s="2" t="s">
        <v>13</v>
      </c>
      <c r="D12" s="2">
        <v>72339.0</v>
      </c>
      <c r="E12" s="3">
        <v>1.166</v>
      </c>
      <c r="F12" s="2">
        <v>9.0</v>
      </c>
      <c r="G12" s="2">
        <f t="shared" si="1"/>
        <v>62040</v>
      </c>
      <c r="H12" s="2">
        <f t="shared" si="2"/>
        <v>651051</v>
      </c>
      <c r="I12" s="4" t="s">
        <v>12</v>
      </c>
    </row>
    <row r="13">
      <c r="A13" s="2" t="s">
        <v>9</v>
      </c>
      <c r="B13" s="2" t="s">
        <v>20</v>
      </c>
      <c r="C13" s="2" t="s">
        <v>19</v>
      </c>
      <c r="D13" s="2">
        <v>65763.0</v>
      </c>
      <c r="E13" s="3">
        <v>1.267</v>
      </c>
      <c r="F13" s="2">
        <v>10.0</v>
      </c>
      <c r="G13" s="2">
        <f t="shared" si="1"/>
        <v>51904</v>
      </c>
      <c r="H13" s="2">
        <f t="shared" si="2"/>
        <v>657630</v>
      </c>
      <c r="I13" s="4" t="s">
        <v>12</v>
      </c>
    </row>
    <row r="14">
      <c r="A14" s="2" t="s">
        <v>9</v>
      </c>
      <c r="B14" s="2" t="s">
        <v>21</v>
      </c>
      <c r="C14" s="2" t="s">
        <v>22</v>
      </c>
      <c r="D14" s="2" t="s">
        <v>23</v>
      </c>
      <c r="E14" s="3">
        <v>0.466</v>
      </c>
      <c r="F14" s="2">
        <v>69.0</v>
      </c>
      <c r="G14" s="2" t="str">
        <f t="shared" si="1"/>
        <v>N/A</v>
      </c>
      <c r="H14" s="2" t="str">
        <f t="shared" si="2"/>
        <v>N/A</v>
      </c>
      <c r="I14" s="4" t="s">
        <v>12</v>
      </c>
    </row>
    <row r="15">
      <c r="A15" s="2" t="s">
        <v>9</v>
      </c>
      <c r="B15" s="2" t="s">
        <v>21</v>
      </c>
      <c r="C15" s="2" t="s">
        <v>13</v>
      </c>
      <c r="D15" s="2">
        <v>17715.0</v>
      </c>
      <c r="E15" s="3">
        <v>0.466</v>
      </c>
      <c r="F15" s="2">
        <v>70.0</v>
      </c>
      <c r="G15" s="2">
        <f t="shared" si="1"/>
        <v>38015</v>
      </c>
      <c r="H15" s="2">
        <f t="shared" si="2"/>
        <v>1240050</v>
      </c>
      <c r="I15" s="4" t="s">
        <v>12</v>
      </c>
    </row>
    <row r="16">
      <c r="A16" s="2" t="s">
        <v>9</v>
      </c>
      <c r="B16" s="2" t="s">
        <v>21</v>
      </c>
      <c r="C16" s="2" t="s">
        <v>16</v>
      </c>
      <c r="D16" s="2">
        <v>21996.0</v>
      </c>
      <c r="E16" s="3">
        <v>0.666</v>
      </c>
      <c r="F16" s="2">
        <v>57.0</v>
      </c>
      <c r="G16" s="2">
        <f t="shared" si="1"/>
        <v>33027</v>
      </c>
      <c r="H16" s="2">
        <f t="shared" si="2"/>
        <v>1253772</v>
      </c>
      <c r="I16" s="4" t="s">
        <v>12</v>
      </c>
    </row>
    <row r="17">
      <c r="A17" s="2" t="s">
        <v>9</v>
      </c>
      <c r="B17" s="2" t="s">
        <v>21</v>
      </c>
      <c r="C17" s="2" t="s">
        <v>24</v>
      </c>
      <c r="D17" s="2">
        <v>14661.0</v>
      </c>
      <c r="E17" s="3">
        <v>0.466</v>
      </c>
      <c r="F17" s="2">
        <v>80.0</v>
      </c>
      <c r="G17" s="2">
        <f t="shared" si="1"/>
        <v>31461</v>
      </c>
      <c r="H17" s="2">
        <f t="shared" si="2"/>
        <v>1172880</v>
      </c>
      <c r="I17" s="4" t="s">
        <v>12</v>
      </c>
    </row>
    <row r="18">
      <c r="A18" s="2" t="s">
        <v>9</v>
      </c>
      <c r="B18" s="2" t="s">
        <v>21</v>
      </c>
      <c r="C18" s="2" t="s">
        <v>25</v>
      </c>
      <c r="D18" s="2">
        <v>14664.0</v>
      </c>
      <c r="E18" s="3">
        <v>0.466</v>
      </c>
      <c r="F18" s="2">
        <v>68.0</v>
      </c>
      <c r="G18" s="2">
        <f t="shared" si="1"/>
        <v>31468</v>
      </c>
      <c r="H18" s="2">
        <f t="shared" si="2"/>
        <v>997152</v>
      </c>
      <c r="I18" s="4" t="s">
        <v>12</v>
      </c>
    </row>
    <row r="19">
      <c r="A19" s="2" t="s">
        <v>26</v>
      </c>
      <c r="B19" s="2" t="s">
        <v>27</v>
      </c>
      <c r="C19" s="2" t="s">
        <v>13</v>
      </c>
      <c r="D19" s="2">
        <v>956.0</v>
      </c>
      <c r="E19" s="3">
        <v>0.1</v>
      </c>
      <c r="F19" s="2" t="s">
        <v>12</v>
      </c>
      <c r="G19" s="2">
        <f t="shared" si="1"/>
        <v>9560</v>
      </c>
      <c r="H19" s="2" t="str">
        <f t="shared" si="2"/>
        <v>N/A</v>
      </c>
      <c r="I19" s="4">
        <v>24.4</v>
      </c>
    </row>
    <row r="20">
      <c r="A20" s="2" t="s">
        <v>26</v>
      </c>
      <c r="B20" s="2" t="s">
        <v>27</v>
      </c>
      <c r="C20" s="2" t="s">
        <v>19</v>
      </c>
      <c r="D20" s="2">
        <v>1436.0</v>
      </c>
      <c r="E20" s="3">
        <v>0.167</v>
      </c>
      <c r="F20" s="2" t="s">
        <v>12</v>
      </c>
      <c r="G20" s="2">
        <f t="shared" si="1"/>
        <v>8599</v>
      </c>
      <c r="H20" s="2" t="str">
        <f t="shared" si="2"/>
        <v>N/A</v>
      </c>
      <c r="I20" s="4">
        <v>35.91</v>
      </c>
    </row>
    <row r="21">
      <c r="A21" s="2" t="s">
        <v>26</v>
      </c>
      <c r="B21" s="2" t="s">
        <v>27</v>
      </c>
      <c r="C21" s="2" t="s">
        <v>17</v>
      </c>
      <c r="D21" s="2">
        <v>1273.0</v>
      </c>
      <c r="E21" s="3">
        <v>0.133</v>
      </c>
      <c r="F21" s="2" t="s">
        <v>12</v>
      </c>
      <c r="G21" s="2">
        <f t="shared" si="1"/>
        <v>9571</v>
      </c>
      <c r="H21" s="2" t="str">
        <f t="shared" si="2"/>
        <v>N/A</v>
      </c>
      <c r="I21" s="4">
        <v>30.0</v>
      </c>
    </row>
    <row r="22">
      <c r="A22" s="2" t="s">
        <v>26</v>
      </c>
      <c r="B22" s="2" t="s">
        <v>27</v>
      </c>
      <c r="C22" s="2" t="s">
        <v>14</v>
      </c>
      <c r="D22" s="2">
        <v>821.0</v>
      </c>
      <c r="E22" s="3">
        <v>0.083</v>
      </c>
      <c r="F22" s="2" t="s">
        <v>12</v>
      </c>
      <c r="G22" s="2">
        <f t="shared" si="1"/>
        <v>9892</v>
      </c>
      <c r="H22" s="2" t="str">
        <f t="shared" si="2"/>
        <v>N/A</v>
      </c>
      <c r="I22" s="4">
        <v>24.0</v>
      </c>
    </row>
    <row r="23">
      <c r="A23" s="2" t="s">
        <v>26</v>
      </c>
      <c r="B23" s="2" t="s">
        <v>28</v>
      </c>
      <c r="C23" s="2" t="s">
        <v>24</v>
      </c>
      <c r="D23" s="2">
        <v>7285.0</v>
      </c>
      <c r="E23" s="3">
        <v>1.116</v>
      </c>
      <c r="F23" s="2" t="s">
        <v>12</v>
      </c>
      <c r="G23" s="2">
        <f t="shared" si="1"/>
        <v>6528</v>
      </c>
      <c r="H23" s="2" t="str">
        <f t="shared" si="2"/>
        <v>N/A</v>
      </c>
      <c r="I23" s="4" t="s">
        <v>12</v>
      </c>
    </row>
    <row r="24">
      <c r="A24" s="2" t="s">
        <v>26</v>
      </c>
      <c r="B24" s="2" t="s">
        <v>28</v>
      </c>
      <c r="C24" s="2" t="s">
        <v>17</v>
      </c>
      <c r="D24" s="2">
        <v>8047.0</v>
      </c>
      <c r="E24" s="3">
        <v>1.133</v>
      </c>
      <c r="F24" s="2" t="s">
        <v>12</v>
      </c>
      <c r="G24" s="2">
        <f t="shared" si="1"/>
        <v>7102</v>
      </c>
      <c r="H24" s="2" t="str">
        <f t="shared" si="2"/>
        <v>N/A</v>
      </c>
      <c r="I24" s="4" t="s">
        <v>12</v>
      </c>
    </row>
    <row r="25">
      <c r="A25" s="2" t="s">
        <v>26</v>
      </c>
      <c r="B25" s="2" t="s">
        <v>29</v>
      </c>
      <c r="C25" s="2" t="s">
        <v>16</v>
      </c>
      <c r="D25" s="2">
        <v>3688.0</v>
      </c>
      <c r="E25" s="3">
        <v>0.5</v>
      </c>
      <c r="F25" s="2" t="s">
        <v>12</v>
      </c>
      <c r="G25" s="2">
        <f t="shared" si="1"/>
        <v>7376</v>
      </c>
      <c r="H25" s="2" t="str">
        <f t="shared" si="2"/>
        <v>N/A</v>
      </c>
      <c r="I25" s="4">
        <v>35.78</v>
      </c>
    </row>
    <row r="26">
      <c r="A26" s="2" t="s">
        <v>26</v>
      </c>
      <c r="B26" s="2" t="s">
        <v>29</v>
      </c>
      <c r="C26" s="2" t="s">
        <v>17</v>
      </c>
      <c r="D26" s="2">
        <v>2770.0</v>
      </c>
      <c r="E26" s="3">
        <v>0.333</v>
      </c>
      <c r="F26" s="2" t="s">
        <v>12</v>
      </c>
      <c r="G26" s="2">
        <f t="shared" si="1"/>
        <v>8318</v>
      </c>
      <c r="H26" s="2" t="str">
        <f t="shared" si="2"/>
        <v>N/A</v>
      </c>
      <c r="I26" s="4">
        <v>29.26</v>
      </c>
    </row>
    <row r="27">
      <c r="A27" s="2" t="s">
        <v>26</v>
      </c>
      <c r="B27" s="2" t="s">
        <v>29</v>
      </c>
      <c r="C27" s="2" t="s">
        <v>24</v>
      </c>
      <c r="D27" s="2">
        <v>3542.0</v>
      </c>
      <c r="E27" s="3">
        <v>0.433</v>
      </c>
      <c r="F27" s="2" t="s">
        <v>12</v>
      </c>
      <c r="G27" s="2">
        <f t="shared" si="1"/>
        <v>8180</v>
      </c>
      <c r="H27" s="2" t="str">
        <f t="shared" si="2"/>
        <v>N/A</v>
      </c>
      <c r="I27" s="4">
        <v>29.8</v>
      </c>
    </row>
    <row r="28">
      <c r="A28" s="2" t="s">
        <v>26</v>
      </c>
      <c r="B28" s="2" t="s">
        <v>29</v>
      </c>
      <c r="C28" s="2" t="s">
        <v>13</v>
      </c>
      <c r="D28" s="2">
        <v>3220.0</v>
      </c>
      <c r="E28" s="3">
        <v>0.433</v>
      </c>
      <c r="F28" s="2" t="s">
        <v>12</v>
      </c>
      <c r="G28" s="2">
        <f t="shared" si="1"/>
        <v>7436</v>
      </c>
      <c r="H28" s="2" t="str">
        <f t="shared" si="2"/>
        <v>N/A</v>
      </c>
      <c r="I28" s="4">
        <v>29.4</v>
      </c>
    </row>
    <row r="29">
      <c r="A29" s="2" t="s">
        <v>26</v>
      </c>
      <c r="B29" s="2" t="s">
        <v>29</v>
      </c>
      <c r="C29" s="2" t="s">
        <v>30</v>
      </c>
      <c r="D29" s="2" t="s">
        <v>23</v>
      </c>
      <c r="E29" s="3">
        <f>2*0.367</f>
        <v>0.734</v>
      </c>
      <c r="F29" s="2" t="s">
        <v>12</v>
      </c>
      <c r="G29" s="2" t="str">
        <f t="shared" si="1"/>
        <v>N/A</v>
      </c>
      <c r="H29" s="2" t="str">
        <f t="shared" si="2"/>
        <v>N/A</v>
      </c>
      <c r="I29" s="4">
        <v>31.56</v>
      </c>
    </row>
    <row r="30">
      <c r="A30" s="2" t="s">
        <v>26</v>
      </c>
      <c r="B30" s="2" t="s">
        <v>31</v>
      </c>
      <c r="C30" s="2" t="s">
        <v>13</v>
      </c>
      <c r="D30" s="2">
        <f>1119*3</f>
        <v>3357</v>
      </c>
      <c r="E30" s="3">
        <v>0.333</v>
      </c>
      <c r="F30" s="2" t="s">
        <v>12</v>
      </c>
      <c r="G30" s="2">
        <f t="shared" si="1"/>
        <v>10081</v>
      </c>
      <c r="H30" s="2" t="str">
        <f t="shared" si="2"/>
        <v>N/A</v>
      </c>
      <c r="I30" s="4">
        <v>32.68</v>
      </c>
    </row>
    <row r="31">
      <c r="A31" s="2" t="s">
        <v>26</v>
      </c>
      <c r="B31" s="2" t="s">
        <v>31</v>
      </c>
      <c r="C31" s="2" t="s">
        <v>19</v>
      </c>
      <c r="D31" s="2">
        <f>1249*3</f>
        <v>3747</v>
      </c>
      <c r="E31" s="3">
        <v>0.4</v>
      </c>
      <c r="F31" s="2" t="s">
        <v>12</v>
      </c>
      <c r="G31" s="2">
        <f t="shared" si="1"/>
        <v>9368</v>
      </c>
      <c r="H31" s="2" t="str">
        <f t="shared" si="2"/>
        <v>N/A</v>
      </c>
      <c r="I31" s="4">
        <v>35.61</v>
      </c>
    </row>
    <row r="32">
      <c r="A32" s="2" t="s">
        <v>26</v>
      </c>
      <c r="B32" s="2" t="s">
        <v>31</v>
      </c>
      <c r="C32" s="2" t="s">
        <v>24</v>
      </c>
      <c r="D32" s="2">
        <f>941*3</f>
        <v>2823</v>
      </c>
      <c r="E32" s="3">
        <v>0.267</v>
      </c>
      <c r="F32" s="2" t="s">
        <v>12</v>
      </c>
      <c r="G32" s="2">
        <f t="shared" si="1"/>
        <v>10573</v>
      </c>
      <c r="H32" s="2" t="str">
        <f t="shared" si="2"/>
        <v>N/A</v>
      </c>
      <c r="I32" s="4">
        <v>31.41</v>
      </c>
    </row>
    <row r="33">
      <c r="A33" s="2" t="s">
        <v>26</v>
      </c>
      <c r="B33" s="2" t="s">
        <v>31</v>
      </c>
      <c r="C33" s="2" t="s">
        <v>32</v>
      </c>
      <c r="D33" s="2">
        <f>933*4</f>
        <v>3732</v>
      </c>
      <c r="E33" s="3">
        <v>0.333</v>
      </c>
      <c r="F33" s="2" t="s">
        <v>12</v>
      </c>
      <c r="G33" s="2">
        <f t="shared" si="1"/>
        <v>11207</v>
      </c>
      <c r="H33" s="2" t="str">
        <f t="shared" si="2"/>
        <v>N/A</v>
      </c>
      <c r="I33" s="4">
        <v>38.79</v>
      </c>
    </row>
    <row r="34">
      <c r="A34" s="2" t="s">
        <v>26</v>
      </c>
      <c r="B34" s="2" t="s">
        <v>31</v>
      </c>
      <c r="C34" s="2" t="s">
        <v>14</v>
      </c>
      <c r="D34" s="2">
        <f>843*3</f>
        <v>2529</v>
      </c>
      <c r="E34" s="3">
        <v>0.2</v>
      </c>
      <c r="F34" s="2" t="s">
        <v>12</v>
      </c>
      <c r="G34" s="2">
        <f t="shared" si="1"/>
        <v>12645</v>
      </c>
      <c r="H34" s="2" t="str">
        <f t="shared" si="2"/>
        <v>N/A</v>
      </c>
      <c r="I34" s="4">
        <v>30.64</v>
      </c>
    </row>
    <row r="35">
      <c r="A35" s="2" t="s">
        <v>26</v>
      </c>
      <c r="B35" s="2" t="s">
        <v>31</v>
      </c>
      <c r="C35" s="2" t="s">
        <v>33</v>
      </c>
      <c r="D35" s="2">
        <f>941*3</f>
        <v>2823</v>
      </c>
      <c r="E35" s="3">
        <v>0.267</v>
      </c>
      <c r="F35" s="2" t="s">
        <v>12</v>
      </c>
      <c r="G35" s="2">
        <f t="shared" si="1"/>
        <v>10573</v>
      </c>
      <c r="H35" s="2" t="str">
        <f t="shared" si="2"/>
        <v>N/A</v>
      </c>
      <c r="I35" s="4">
        <v>33.57</v>
      </c>
    </row>
    <row r="36">
      <c r="A36" s="2" t="s">
        <v>26</v>
      </c>
      <c r="B36" s="2" t="s">
        <v>34</v>
      </c>
      <c r="C36" s="2" t="s">
        <v>16</v>
      </c>
      <c r="D36" s="2">
        <v>3689.0</v>
      </c>
      <c r="E36" s="3">
        <v>0.5</v>
      </c>
      <c r="F36" s="2" t="s">
        <v>12</v>
      </c>
      <c r="G36" s="2">
        <f t="shared" si="1"/>
        <v>7378</v>
      </c>
      <c r="H36" s="2" t="str">
        <f t="shared" si="2"/>
        <v>N/A</v>
      </c>
      <c r="I36" s="4">
        <v>77.75</v>
      </c>
    </row>
    <row r="37">
      <c r="A37" s="2" t="s">
        <v>26</v>
      </c>
      <c r="B37" s="2" t="s">
        <v>34</v>
      </c>
      <c r="C37" s="2" t="s">
        <v>19</v>
      </c>
      <c r="D37" s="2">
        <v>3241.0</v>
      </c>
      <c r="E37" s="3">
        <v>0.4</v>
      </c>
      <c r="F37" s="2" t="s">
        <v>12</v>
      </c>
      <c r="G37" s="2">
        <f t="shared" si="1"/>
        <v>8103</v>
      </c>
      <c r="H37" s="2" t="str">
        <f t="shared" si="2"/>
        <v>N/A</v>
      </c>
      <c r="I37" s="4">
        <v>81.2</v>
      </c>
    </row>
    <row r="38">
      <c r="A38" s="2" t="s">
        <v>26</v>
      </c>
      <c r="B38" s="2" t="s">
        <v>34</v>
      </c>
      <c r="C38" s="2" t="s">
        <v>24</v>
      </c>
      <c r="D38" s="2">
        <v>2471.0</v>
      </c>
      <c r="E38" s="3">
        <v>0.3</v>
      </c>
      <c r="F38" s="2" t="s">
        <v>12</v>
      </c>
      <c r="G38" s="2">
        <f t="shared" si="1"/>
        <v>8237</v>
      </c>
      <c r="H38" s="2" t="str">
        <f t="shared" si="2"/>
        <v>N/A</v>
      </c>
      <c r="I38" s="4">
        <v>70.85</v>
      </c>
    </row>
    <row r="39">
      <c r="A39" s="2" t="s">
        <v>26</v>
      </c>
      <c r="B39" s="2" t="s">
        <v>34</v>
      </c>
      <c r="C39" s="2" t="s">
        <v>17</v>
      </c>
      <c r="D39" s="2">
        <v>2803.0</v>
      </c>
      <c r="E39" s="3">
        <v>0.333</v>
      </c>
      <c r="F39" s="2" t="s">
        <v>12</v>
      </c>
      <c r="G39" s="2">
        <f t="shared" si="1"/>
        <v>8417</v>
      </c>
      <c r="H39" s="2" t="str">
        <f t="shared" si="2"/>
        <v>N/A</v>
      </c>
      <c r="I39" s="4">
        <v>75.87</v>
      </c>
    </row>
    <row r="40">
      <c r="A40" s="2" t="s">
        <v>26</v>
      </c>
      <c r="B40" s="2" t="s">
        <v>34</v>
      </c>
      <c r="C40" s="2" t="s">
        <v>14</v>
      </c>
      <c r="D40" s="2">
        <v>2154.0</v>
      </c>
      <c r="E40" s="3">
        <v>0.233</v>
      </c>
      <c r="F40" s="2" t="s">
        <v>12</v>
      </c>
      <c r="G40" s="2">
        <f t="shared" si="1"/>
        <v>9245</v>
      </c>
      <c r="H40" s="2" t="str">
        <f t="shared" si="2"/>
        <v>N/A</v>
      </c>
      <c r="I40" s="4">
        <v>70.54</v>
      </c>
    </row>
    <row r="41">
      <c r="A41" s="2" t="s">
        <v>26</v>
      </c>
      <c r="B41" s="2" t="s">
        <v>35</v>
      </c>
      <c r="C41" s="2" t="s">
        <v>13</v>
      </c>
      <c r="D41" s="2">
        <v>1759.0</v>
      </c>
      <c r="E41" s="3">
        <v>0.2</v>
      </c>
      <c r="F41" s="2" t="s">
        <v>12</v>
      </c>
      <c r="G41" s="2">
        <f t="shared" si="1"/>
        <v>8795</v>
      </c>
      <c r="H41" s="2" t="str">
        <f t="shared" si="2"/>
        <v>N/A</v>
      </c>
      <c r="I41" s="4">
        <v>14.93</v>
      </c>
    </row>
    <row r="42">
      <c r="A42" s="2" t="s">
        <v>26</v>
      </c>
      <c r="B42" s="2" t="s">
        <v>35</v>
      </c>
      <c r="C42" s="2" t="s">
        <v>32</v>
      </c>
      <c r="D42" s="2">
        <v>2299.0</v>
      </c>
      <c r="E42" s="3">
        <v>0.267</v>
      </c>
      <c r="F42" s="2" t="s">
        <v>12</v>
      </c>
      <c r="G42" s="2">
        <f t="shared" si="1"/>
        <v>8610</v>
      </c>
      <c r="H42" s="2" t="str">
        <f t="shared" si="2"/>
        <v>N/A</v>
      </c>
      <c r="I42" s="4">
        <v>16.08</v>
      </c>
    </row>
    <row r="43">
      <c r="A43" s="2" t="s">
        <v>26</v>
      </c>
      <c r="B43" s="2" t="s">
        <v>35</v>
      </c>
      <c r="C43" s="2" t="s">
        <v>24</v>
      </c>
      <c r="D43" s="2">
        <v>2391.0</v>
      </c>
      <c r="E43" s="3">
        <v>0.167</v>
      </c>
      <c r="F43" s="2" t="s">
        <v>12</v>
      </c>
      <c r="G43" s="2">
        <f t="shared" si="1"/>
        <v>14317</v>
      </c>
      <c r="H43" s="2" t="str">
        <f t="shared" si="2"/>
        <v>N/A</v>
      </c>
      <c r="I43" s="4">
        <v>14.5</v>
      </c>
    </row>
    <row r="44">
      <c r="A44" s="2" t="s">
        <v>26</v>
      </c>
      <c r="B44" s="2" t="s">
        <v>35</v>
      </c>
      <c r="C44" s="2" t="s">
        <v>17</v>
      </c>
      <c r="D44" s="2">
        <v>3087.0</v>
      </c>
      <c r="E44" s="3">
        <v>0.233</v>
      </c>
      <c r="F44" s="2" t="s">
        <v>12</v>
      </c>
      <c r="G44" s="2">
        <f t="shared" si="1"/>
        <v>13249</v>
      </c>
      <c r="H44" s="2" t="str">
        <f t="shared" si="2"/>
        <v>N/A</v>
      </c>
      <c r="I44" s="4">
        <v>15.7</v>
      </c>
    </row>
    <row r="45">
      <c r="A45" s="2" t="s">
        <v>26</v>
      </c>
      <c r="B45" s="2" t="s">
        <v>35</v>
      </c>
      <c r="C45" s="2" t="s">
        <v>14</v>
      </c>
      <c r="D45" s="2">
        <v>1929.0</v>
      </c>
      <c r="E45" s="3">
        <v>0.133</v>
      </c>
      <c r="F45" s="2" t="s">
        <v>12</v>
      </c>
      <c r="G45" s="2">
        <f t="shared" si="1"/>
        <v>14504</v>
      </c>
      <c r="H45" s="2" t="str">
        <f t="shared" si="2"/>
        <v>N/A</v>
      </c>
      <c r="I45" s="4">
        <v>14.78</v>
      </c>
    </row>
    <row r="46">
      <c r="A46" s="2" t="s">
        <v>26</v>
      </c>
      <c r="B46" s="2" t="s">
        <v>36</v>
      </c>
      <c r="C46" s="2" t="s">
        <v>13</v>
      </c>
      <c r="D46" s="2">
        <v>918.0</v>
      </c>
      <c r="E46" s="3">
        <v>0.067</v>
      </c>
      <c r="F46" s="2" t="s">
        <v>12</v>
      </c>
      <c r="G46" s="2">
        <f t="shared" si="1"/>
        <v>13701</v>
      </c>
      <c r="H46" s="2" t="str">
        <f t="shared" si="2"/>
        <v>N/A</v>
      </c>
      <c r="I46" s="4">
        <v>18.42</v>
      </c>
    </row>
    <row r="47">
      <c r="A47" s="2" t="s">
        <v>26</v>
      </c>
      <c r="B47" s="2" t="s">
        <v>36</v>
      </c>
      <c r="C47" s="2" t="s">
        <v>16</v>
      </c>
      <c r="D47" s="2">
        <v>1176.0</v>
      </c>
      <c r="E47" s="3">
        <v>0.083</v>
      </c>
      <c r="F47" s="2" t="s">
        <v>12</v>
      </c>
      <c r="G47" s="2">
        <f t="shared" si="1"/>
        <v>14169</v>
      </c>
      <c r="H47" s="2" t="str">
        <f t="shared" si="2"/>
        <v>N/A</v>
      </c>
      <c r="I47" s="4">
        <v>18.06</v>
      </c>
    </row>
    <row r="48">
      <c r="A48" s="2" t="s">
        <v>26</v>
      </c>
      <c r="B48" s="2" t="s">
        <v>36</v>
      </c>
      <c r="C48" s="2" t="s">
        <v>24</v>
      </c>
      <c r="D48" s="2">
        <v>978.0</v>
      </c>
      <c r="E48" s="3">
        <v>0.067</v>
      </c>
      <c r="F48" s="2" t="s">
        <v>12</v>
      </c>
      <c r="G48" s="2">
        <f t="shared" si="1"/>
        <v>14597</v>
      </c>
      <c r="H48" s="2" t="str">
        <f t="shared" si="2"/>
        <v>N/A</v>
      </c>
      <c r="I48" s="4">
        <v>17.06</v>
      </c>
    </row>
    <row r="49">
      <c r="A49" s="2" t="s">
        <v>26</v>
      </c>
      <c r="B49" s="2" t="s">
        <v>36</v>
      </c>
      <c r="C49" s="2" t="s">
        <v>17</v>
      </c>
      <c r="D49" s="2">
        <v>1296.0</v>
      </c>
      <c r="E49" s="3">
        <v>0.1</v>
      </c>
      <c r="F49" s="2" t="s">
        <v>12</v>
      </c>
      <c r="G49" s="2">
        <f t="shared" si="1"/>
        <v>12960</v>
      </c>
      <c r="H49" s="2" t="str">
        <f t="shared" si="2"/>
        <v>N/A</v>
      </c>
      <c r="I49" s="4">
        <v>19.79</v>
      </c>
    </row>
    <row r="50">
      <c r="A50" s="2" t="s">
        <v>37</v>
      </c>
      <c r="B50" s="2" t="s">
        <v>38</v>
      </c>
      <c r="C50" s="2" t="s">
        <v>19</v>
      </c>
      <c r="D50" s="2">
        <v>35998.0</v>
      </c>
      <c r="E50" s="3">
        <v>1.45</v>
      </c>
      <c r="F50" s="2">
        <v>19.0</v>
      </c>
      <c r="G50" s="2">
        <f t="shared" si="1"/>
        <v>24826</v>
      </c>
      <c r="H50" s="2">
        <f t="shared" si="2"/>
        <v>683962</v>
      </c>
      <c r="I50" s="4">
        <v>16.63</v>
      </c>
    </row>
    <row r="51">
      <c r="A51" s="2" t="s">
        <v>37</v>
      </c>
      <c r="B51" s="2" t="s">
        <v>38</v>
      </c>
      <c r="C51" s="2" t="s">
        <v>16</v>
      </c>
      <c r="D51" s="2">
        <v>31571.0</v>
      </c>
      <c r="E51" s="3" t="s">
        <v>23</v>
      </c>
      <c r="F51" s="2">
        <v>16.0</v>
      </c>
      <c r="G51" s="2" t="str">
        <f t="shared" si="1"/>
        <v>N/A</v>
      </c>
      <c r="H51" s="2">
        <f t="shared" si="2"/>
        <v>505136</v>
      </c>
      <c r="I51" s="4">
        <v>15.68</v>
      </c>
    </row>
    <row r="52">
      <c r="A52" s="2" t="s">
        <v>37</v>
      </c>
      <c r="B52" s="2" t="s">
        <v>38</v>
      </c>
      <c r="C52" s="2" t="s">
        <v>17</v>
      </c>
      <c r="D52" s="2">
        <v>24061.0</v>
      </c>
      <c r="E52" s="3">
        <v>1.266</v>
      </c>
      <c r="F52" s="2">
        <v>22.0</v>
      </c>
      <c r="G52" s="2">
        <f t="shared" si="1"/>
        <v>19006</v>
      </c>
      <c r="H52" s="2">
        <f t="shared" si="2"/>
        <v>529342</v>
      </c>
      <c r="I52" s="4">
        <v>17.0</v>
      </c>
    </row>
    <row r="53">
      <c r="A53" s="2" t="s">
        <v>37</v>
      </c>
      <c r="B53" s="2" t="s">
        <v>38</v>
      </c>
      <c r="C53" s="2" t="s">
        <v>14</v>
      </c>
      <c r="D53" s="2">
        <v>26001.0</v>
      </c>
      <c r="E53" s="3">
        <v>0.983</v>
      </c>
      <c r="F53" s="2">
        <v>22.0</v>
      </c>
      <c r="G53" s="2">
        <f t="shared" si="1"/>
        <v>26451</v>
      </c>
      <c r="H53" s="2">
        <f t="shared" si="2"/>
        <v>572022</v>
      </c>
      <c r="I53" s="4">
        <v>15.16</v>
      </c>
    </row>
    <row r="54">
      <c r="A54" s="2" t="s">
        <v>37</v>
      </c>
      <c r="B54" s="2" t="s">
        <v>38</v>
      </c>
      <c r="C54" s="2" t="s">
        <v>13</v>
      </c>
      <c r="D54" s="2">
        <v>28010.0</v>
      </c>
      <c r="E54" s="3">
        <v>1.15</v>
      </c>
      <c r="F54" s="2">
        <v>22.0</v>
      </c>
      <c r="G54" s="2">
        <f t="shared" si="1"/>
        <v>24357</v>
      </c>
      <c r="H54" s="2">
        <f t="shared" si="2"/>
        <v>616220</v>
      </c>
      <c r="I54" s="4">
        <v>16.0</v>
      </c>
    </row>
    <row r="55">
      <c r="A55" s="2" t="s">
        <v>37</v>
      </c>
      <c r="B55" s="2" t="s">
        <v>39</v>
      </c>
      <c r="C55" s="2" t="s">
        <v>40</v>
      </c>
      <c r="D55" s="2">
        <v>17305.0</v>
      </c>
      <c r="E55" s="3">
        <v>1.583</v>
      </c>
      <c r="F55" s="2">
        <v>23.0</v>
      </c>
      <c r="G55" s="2">
        <f t="shared" si="1"/>
        <v>10932</v>
      </c>
      <c r="H55" s="2">
        <f t="shared" si="2"/>
        <v>398015</v>
      </c>
      <c r="I55" s="4" t="s">
        <v>12</v>
      </c>
    </row>
    <row r="56">
      <c r="A56" s="2" t="s">
        <v>37</v>
      </c>
      <c r="B56" s="2" t="s">
        <v>39</v>
      </c>
      <c r="C56" s="2" t="s">
        <v>24</v>
      </c>
      <c r="D56" s="2">
        <v>21857.0</v>
      </c>
      <c r="E56" s="3">
        <v>1.583</v>
      </c>
      <c r="F56" s="2">
        <v>23.0</v>
      </c>
      <c r="G56" s="2">
        <f t="shared" si="1"/>
        <v>13807</v>
      </c>
      <c r="H56" s="2">
        <f t="shared" si="2"/>
        <v>502711</v>
      </c>
      <c r="I56" s="4" t="s">
        <v>12</v>
      </c>
    </row>
    <row r="57">
      <c r="A57" s="2" t="s">
        <v>37</v>
      </c>
      <c r="B57" s="2" t="s">
        <v>39</v>
      </c>
      <c r="C57" s="2" t="s">
        <v>41</v>
      </c>
      <c r="D57" s="2">
        <v>28588.0</v>
      </c>
      <c r="E57" s="3">
        <v>1.583</v>
      </c>
      <c r="F57" s="2">
        <v>21.0</v>
      </c>
      <c r="G57" s="2">
        <f t="shared" si="1"/>
        <v>18059</v>
      </c>
      <c r="H57" s="2">
        <f t="shared" si="2"/>
        <v>600348</v>
      </c>
      <c r="I57" s="4" t="s">
        <v>12</v>
      </c>
    </row>
    <row r="58">
      <c r="A58" s="2" t="s">
        <v>37</v>
      </c>
      <c r="B58" s="2" t="s">
        <v>42</v>
      </c>
      <c r="C58" s="2" t="s">
        <v>14</v>
      </c>
      <c r="D58" s="2">
        <v>19500.0</v>
      </c>
      <c r="E58" s="3">
        <v>0.433</v>
      </c>
      <c r="F58" s="2">
        <v>28.0</v>
      </c>
      <c r="G58" s="2">
        <f t="shared" si="1"/>
        <v>45035</v>
      </c>
      <c r="H58" s="2">
        <f t="shared" si="2"/>
        <v>546000</v>
      </c>
      <c r="I58" s="4">
        <v>4.77</v>
      </c>
    </row>
    <row r="59">
      <c r="A59" s="2" t="s">
        <v>37</v>
      </c>
      <c r="B59" s="2" t="s">
        <v>42</v>
      </c>
      <c r="C59" s="2" t="s">
        <v>17</v>
      </c>
      <c r="D59" s="2">
        <v>23961.0</v>
      </c>
      <c r="E59" s="3">
        <v>0.833</v>
      </c>
      <c r="F59" s="2">
        <v>22.0</v>
      </c>
      <c r="G59" s="2">
        <f t="shared" si="1"/>
        <v>28765</v>
      </c>
      <c r="H59" s="2">
        <f t="shared" si="2"/>
        <v>527142</v>
      </c>
      <c r="I59" s="4">
        <v>5.59</v>
      </c>
    </row>
    <row r="60">
      <c r="A60" s="2" t="s">
        <v>37</v>
      </c>
      <c r="B60" s="2" t="s">
        <v>42</v>
      </c>
      <c r="C60" s="2" t="s">
        <v>43</v>
      </c>
      <c r="D60" s="2">
        <v>25917.0</v>
      </c>
      <c r="E60" s="3">
        <v>0.833</v>
      </c>
      <c r="F60" s="2">
        <v>21.0</v>
      </c>
      <c r="G60" s="2">
        <f t="shared" si="1"/>
        <v>31113</v>
      </c>
      <c r="H60" s="2">
        <f t="shared" si="2"/>
        <v>544257</v>
      </c>
      <c r="I60" s="4">
        <v>9.33</v>
      </c>
    </row>
    <row r="61">
      <c r="A61" s="2" t="s">
        <v>37</v>
      </c>
      <c r="B61" s="2" t="s">
        <v>42</v>
      </c>
      <c r="C61" s="2" t="s">
        <v>16</v>
      </c>
      <c r="D61" s="2">
        <v>30076.0</v>
      </c>
      <c r="E61" s="3">
        <v>1.016</v>
      </c>
      <c r="F61" s="2">
        <v>21.0</v>
      </c>
      <c r="G61" s="2">
        <f t="shared" si="1"/>
        <v>29602</v>
      </c>
      <c r="H61" s="2">
        <f t="shared" si="2"/>
        <v>631596</v>
      </c>
      <c r="I61" s="4">
        <v>4.68</v>
      </c>
    </row>
    <row r="62">
      <c r="A62" s="2" t="s">
        <v>37</v>
      </c>
      <c r="B62" s="2" t="s">
        <v>42</v>
      </c>
      <c r="C62" s="2" t="s">
        <v>24</v>
      </c>
      <c r="D62" s="2">
        <v>24777.0</v>
      </c>
      <c r="E62" s="3">
        <v>0.683</v>
      </c>
      <c r="F62" s="2">
        <v>19.0</v>
      </c>
      <c r="G62" s="2">
        <f t="shared" si="1"/>
        <v>36277</v>
      </c>
      <c r="H62" s="2">
        <f t="shared" si="2"/>
        <v>470763</v>
      </c>
      <c r="I62" s="4">
        <v>5.09</v>
      </c>
    </row>
    <row r="63">
      <c r="A63" s="2" t="s">
        <v>37</v>
      </c>
      <c r="B63" s="2" t="s">
        <v>35</v>
      </c>
      <c r="C63" s="2" t="s">
        <v>44</v>
      </c>
      <c r="D63" s="2">
        <v>13878.0</v>
      </c>
      <c r="E63" s="3">
        <v>0.616</v>
      </c>
      <c r="F63" s="2">
        <v>68.0</v>
      </c>
      <c r="G63" s="2">
        <f t="shared" si="1"/>
        <v>22529</v>
      </c>
      <c r="H63" s="2">
        <f t="shared" si="2"/>
        <v>943704</v>
      </c>
      <c r="I63" s="4" t="s">
        <v>12</v>
      </c>
    </row>
    <row r="64">
      <c r="A64" s="2" t="s">
        <v>37</v>
      </c>
      <c r="B64" s="2" t="s">
        <v>45</v>
      </c>
      <c r="C64" s="2" t="s">
        <v>14</v>
      </c>
      <c r="D64" s="2">
        <v>15783.0</v>
      </c>
      <c r="E64" s="3">
        <v>0.433</v>
      </c>
      <c r="F64" s="2">
        <v>37.0</v>
      </c>
      <c r="G64" s="2">
        <f t="shared" si="1"/>
        <v>36450</v>
      </c>
      <c r="H64" s="2">
        <f t="shared" si="2"/>
        <v>583971</v>
      </c>
      <c r="I64" s="4" t="s">
        <v>12</v>
      </c>
    </row>
    <row r="65">
      <c r="A65" s="2" t="s">
        <v>37</v>
      </c>
      <c r="B65" s="2" t="s">
        <v>45</v>
      </c>
      <c r="C65" s="2" t="s">
        <v>13</v>
      </c>
      <c r="D65" s="2">
        <v>20836.0</v>
      </c>
      <c r="E65" s="3">
        <v>0.65</v>
      </c>
      <c r="F65" s="2">
        <v>23.0</v>
      </c>
      <c r="G65" s="2">
        <f t="shared" si="1"/>
        <v>32055</v>
      </c>
      <c r="H65" s="2">
        <f t="shared" si="2"/>
        <v>479228</v>
      </c>
      <c r="I65" s="4" t="s">
        <v>12</v>
      </c>
    </row>
    <row r="66">
      <c r="A66" s="2" t="s">
        <v>37</v>
      </c>
      <c r="B66" s="2" t="s">
        <v>45</v>
      </c>
      <c r="C66" s="2" t="s">
        <v>16</v>
      </c>
      <c r="D66" s="2">
        <v>25495.0</v>
      </c>
      <c r="E66" s="3">
        <v>0.833</v>
      </c>
      <c r="F66" s="2">
        <v>24.0</v>
      </c>
      <c r="G66" s="2">
        <f t="shared" si="1"/>
        <v>30606</v>
      </c>
      <c r="H66" s="2">
        <f t="shared" si="2"/>
        <v>611880</v>
      </c>
      <c r="I66" s="4" t="s">
        <v>12</v>
      </c>
    </row>
    <row r="67">
      <c r="A67" s="2" t="s">
        <v>37</v>
      </c>
      <c r="B67" s="2" t="s">
        <v>46</v>
      </c>
      <c r="C67" s="2" t="s">
        <v>13</v>
      </c>
      <c r="D67" s="2">
        <v>1074.0</v>
      </c>
      <c r="E67" s="3">
        <v>0.067</v>
      </c>
      <c r="F67" s="2">
        <v>624.0</v>
      </c>
      <c r="G67" s="2">
        <f t="shared" si="1"/>
        <v>16030</v>
      </c>
      <c r="H67" s="2">
        <f t="shared" si="2"/>
        <v>670176</v>
      </c>
      <c r="I67" s="4" t="s">
        <v>12</v>
      </c>
    </row>
  </sheetData>
  <autoFilter ref="$A$1:$I$67">
    <sortState ref="A1:I67">
      <sortCondition ref="A1:A67"/>
      <sortCondition ref="B1:B67"/>
    </sortState>
  </autoFilter>
  <conditionalFormatting sqref="H2:H6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G2:G67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I2:I6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8.25"/>
    <col customWidth="1" min="6" max="6" width="8.13"/>
    <col customWidth="1" min="7" max="9" width="18.88"/>
    <col customWidth="1" min="10" max="10" width="23.13"/>
    <col customWidth="1" min="11" max="11" width="8.13"/>
    <col customWidth="1" min="12" max="12" width="12.25"/>
    <col customWidth="1" min="13" max="13" width="8.13"/>
    <col customWidth="1" min="14" max="14" width="7.5"/>
    <col customWidth="1" min="15" max="15" width="6.63"/>
  </cols>
  <sheetData>
    <row r="1" ht="15.0" customHeight="1">
      <c r="A1" s="5" t="s">
        <v>47</v>
      </c>
      <c r="C1" s="6" t="s">
        <v>48</v>
      </c>
      <c r="E1" s="7" t="s">
        <v>49</v>
      </c>
      <c r="G1" s="8" t="s">
        <v>50</v>
      </c>
      <c r="L1" s="9" t="s">
        <v>51</v>
      </c>
      <c r="N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56</v>
      </c>
      <c r="G2" s="11" t="s">
        <v>58</v>
      </c>
      <c r="H2" s="11" t="s">
        <v>0</v>
      </c>
      <c r="I2" s="11" t="s">
        <v>59</v>
      </c>
      <c r="J2" s="11" t="s">
        <v>60</v>
      </c>
      <c r="K2" s="11" t="s">
        <v>56</v>
      </c>
      <c r="L2" s="11" t="s">
        <v>61</v>
      </c>
      <c r="M2" s="11" t="s">
        <v>56</v>
      </c>
      <c r="N2" s="12" t="s">
        <v>62</v>
      </c>
      <c r="O2" s="12" t="s">
        <v>63</v>
      </c>
    </row>
    <row r="3" ht="37.5" customHeight="1">
      <c r="A3" s="13"/>
      <c r="B3" s="14" t="s">
        <v>64</v>
      </c>
      <c r="C3" s="14" t="s">
        <v>14</v>
      </c>
      <c r="D3" s="14">
        <f t="shared" ref="D3:D44" si="1">IFS(C3="Precision",0,OR(C3="Slug"),1,OR(C3="Lightweight",C3="Aggressive"),2,C3="Rapid",3)</f>
        <v>3</v>
      </c>
      <c r="E3" s="14" t="s">
        <v>65</v>
      </c>
      <c r="F3" s="14">
        <f t="shared" ref="F3:F16" si="2">IF(OR(E3="Kinetic",E3="Solar",AND(E3="Void",C3="Aggressive")),1,0)</f>
        <v>0</v>
      </c>
      <c r="G3" s="14" t="s">
        <v>66</v>
      </c>
      <c r="H3" s="14" t="s">
        <v>67</v>
      </c>
      <c r="I3" s="14" t="s">
        <v>68</v>
      </c>
      <c r="J3" s="14" t="s">
        <v>69</v>
      </c>
      <c r="K3" s="14">
        <f>0.5+0.5+1+1+1+1+1+0.5</f>
        <v>6.5</v>
      </c>
      <c r="L3" s="14" t="s">
        <v>70</v>
      </c>
      <c r="M3" s="14">
        <v>2.0</v>
      </c>
      <c r="N3" s="13">
        <f t="shared" ref="N3:N44" si="3">SUM(D3:M3)</f>
        <v>11.5</v>
      </c>
      <c r="O3" s="14" t="s">
        <v>71</v>
      </c>
    </row>
    <row r="4" ht="37.5" customHeight="1">
      <c r="A4" s="13"/>
      <c r="B4" s="14" t="s">
        <v>72</v>
      </c>
      <c r="C4" s="14" t="s">
        <v>14</v>
      </c>
      <c r="D4" s="14">
        <f t="shared" si="1"/>
        <v>3</v>
      </c>
      <c r="E4" s="14" t="s">
        <v>73</v>
      </c>
      <c r="F4" s="14">
        <f t="shared" si="2"/>
        <v>1</v>
      </c>
      <c r="G4" s="14" t="s">
        <v>74</v>
      </c>
      <c r="H4" s="14" t="s">
        <v>75</v>
      </c>
      <c r="I4" s="14" t="s">
        <v>76</v>
      </c>
      <c r="J4" s="14" t="s">
        <v>77</v>
      </c>
      <c r="K4" s="14">
        <f>1+1+1+1+1+0.5</f>
        <v>5.5</v>
      </c>
      <c r="L4" s="14" t="s">
        <v>70</v>
      </c>
      <c r="M4" s="14">
        <v>2.0</v>
      </c>
      <c r="N4" s="13">
        <f t="shared" si="3"/>
        <v>11.5</v>
      </c>
      <c r="O4" s="14" t="s">
        <v>71</v>
      </c>
    </row>
    <row r="5" ht="37.5" customHeight="1">
      <c r="A5" s="13"/>
      <c r="B5" s="14" t="s">
        <v>78</v>
      </c>
      <c r="C5" s="14" t="s">
        <v>24</v>
      </c>
      <c r="D5" s="14">
        <f t="shared" si="1"/>
        <v>2</v>
      </c>
      <c r="E5" s="14" t="s">
        <v>65</v>
      </c>
      <c r="F5" s="14">
        <f t="shared" si="2"/>
        <v>0</v>
      </c>
      <c r="G5" s="14" t="s">
        <v>79</v>
      </c>
      <c r="H5" s="14" t="s">
        <v>80</v>
      </c>
      <c r="I5" s="14" t="s">
        <v>68</v>
      </c>
      <c r="J5" s="14" t="s">
        <v>81</v>
      </c>
      <c r="K5" s="13">
        <f>0.5+0.5+0.5+1+1+1+0.5+1+1</f>
        <v>7</v>
      </c>
      <c r="L5" s="14" t="s">
        <v>70</v>
      </c>
      <c r="M5" s="14">
        <v>2.0</v>
      </c>
      <c r="N5" s="13">
        <f t="shared" si="3"/>
        <v>11</v>
      </c>
      <c r="O5" s="14" t="s">
        <v>71</v>
      </c>
    </row>
    <row r="6" ht="37.5" customHeight="1">
      <c r="A6" s="13"/>
      <c r="B6" s="14" t="s">
        <v>82</v>
      </c>
      <c r="C6" s="14" t="s">
        <v>14</v>
      </c>
      <c r="D6" s="14">
        <f t="shared" si="1"/>
        <v>3</v>
      </c>
      <c r="E6" s="14" t="s">
        <v>83</v>
      </c>
      <c r="F6" s="14">
        <f t="shared" si="2"/>
        <v>0</v>
      </c>
      <c r="G6" s="14" t="s">
        <v>84</v>
      </c>
      <c r="H6" s="14" t="s">
        <v>75</v>
      </c>
      <c r="I6" s="14" t="s">
        <v>85</v>
      </c>
      <c r="J6" s="14" t="s">
        <v>86</v>
      </c>
      <c r="K6" s="13">
        <f>0.5+1+1+1+1+1</f>
        <v>5.5</v>
      </c>
      <c r="L6" s="14" t="s">
        <v>87</v>
      </c>
      <c r="M6" s="14">
        <v>2.0</v>
      </c>
      <c r="N6" s="13">
        <f t="shared" si="3"/>
        <v>10.5</v>
      </c>
      <c r="O6" s="14" t="s">
        <v>71</v>
      </c>
    </row>
    <row r="7" ht="37.5" customHeight="1">
      <c r="A7" s="13"/>
      <c r="B7" s="14" t="s">
        <v>88</v>
      </c>
      <c r="C7" s="14" t="s">
        <v>14</v>
      </c>
      <c r="D7" s="14">
        <f t="shared" si="1"/>
        <v>3</v>
      </c>
      <c r="E7" s="14" t="s">
        <v>89</v>
      </c>
      <c r="F7" s="14">
        <f t="shared" si="2"/>
        <v>1</v>
      </c>
      <c r="G7" s="14" t="s">
        <v>79</v>
      </c>
      <c r="H7" s="14" t="s">
        <v>90</v>
      </c>
      <c r="I7" s="14" t="s">
        <v>85</v>
      </c>
      <c r="J7" s="14" t="s">
        <v>91</v>
      </c>
      <c r="K7" s="13">
        <f>0.5+0.5+1+1+0.5</f>
        <v>3.5</v>
      </c>
      <c r="L7" s="14" t="s">
        <v>87</v>
      </c>
      <c r="M7" s="14">
        <v>2.0</v>
      </c>
      <c r="N7" s="13">
        <f t="shared" si="3"/>
        <v>9.5</v>
      </c>
      <c r="O7" s="14" t="s">
        <v>92</v>
      </c>
    </row>
    <row r="8" ht="37.5" customHeight="1">
      <c r="A8" s="13"/>
      <c r="B8" s="14" t="s">
        <v>93</v>
      </c>
      <c r="C8" s="14" t="s">
        <v>14</v>
      </c>
      <c r="D8" s="14">
        <f t="shared" si="1"/>
        <v>3</v>
      </c>
      <c r="E8" s="14" t="s">
        <v>94</v>
      </c>
      <c r="F8" s="14">
        <f t="shared" si="2"/>
        <v>0</v>
      </c>
      <c r="G8" s="14" t="s">
        <v>79</v>
      </c>
      <c r="H8" s="14" t="s">
        <v>90</v>
      </c>
      <c r="I8" s="14" t="s">
        <v>76</v>
      </c>
      <c r="J8" s="14" t="s">
        <v>95</v>
      </c>
      <c r="K8" s="13">
        <f>0.5+0.5+1+1+1</f>
        <v>4</v>
      </c>
      <c r="L8" s="14" t="s">
        <v>70</v>
      </c>
      <c r="M8" s="14">
        <v>2.0</v>
      </c>
      <c r="N8" s="13">
        <f t="shared" si="3"/>
        <v>9</v>
      </c>
      <c r="O8" s="14" t="s">
        <v>92</v>
      </c>
    </row>
    <row r="9" ht="37.5" customHeight="1">
      <c r="A9" s="13"/>
      <c r="B9" s="14" t="s">
        <v>96</v>
      </c>
      <c r="C9" s="14" t="s">
        <v>14</v>
      </c>
      <c r="D9" s="14">
        <f t="shared" si="1"/>
        <v>3</v>
      </c>
      <c r="E9" s="14" t="s">
        <v>94</v>
      </c>
      <c r="F9" s="14">
        <f t="shared" si="2"/>
        <v>0</v>
      </c>
      <c r="G9" s="14" t="s">
        <v>75</v>
      </c>
      <c r="H9" s="14" t="s">
        <v>90</v>
      </c>
      <c r="I9" s="14" t="s">
        <v>97</v>
      </c>
      <c r="J9" s="14" t="s">
        <v>98</v>
      </c>
      <c r="K9" s="14">
        <f>0.5+1+1+1</f>
        <v>3.5</v>
      </c>
      <c r="L9" s="14" t="s">
        <v>70</v>
      </c>
      <c r="M9" s="14">
        <v>2.0</v>
      </c>
      <c r="N9" s="13">
        <f t="shared" si="3"/>
        <v>8.5</v>
      </c>
      <c r="O9" s="14" t="s">
        <v>92</v>
      </c>
    </row>
    <row r="10" ht="37.5" customHeight="1">
      <c r="A10" s="13"/>
      <c r="B10" s="14" t="s">
        <v>99</v>
      </c>
      <c r="C10" s="14" t="s">
        <v>43</v>
      </c>
      <c r="D10" s="14">
        <f t="shared" si="1"/>
        <v>1</v>
      </c>
      <c r="E10" s="14" t="s">
        <v>89</v>
      </c>
      <c r="F10" s="14">
        <f t="shared" si="2"/>
        <v>1</v>
      </c>
      <c r="G10" s="14" t="s">
        <v>100</v>
      </c>
      <c r="H10" s="14" t="s">
        <v>101</v>
      </c>
      <c r="I10" s="14" t="s">
        <v>75</v>
      </c>
      <c r="J10" s="14" t="s">
        <v>102</v>
      </c>
      <c r="K10" s="14">
        <f>0.5+0.5+0.5+1+1+1</f>
        <v>4.5</v>
      </c>
      <c r="L10" s="14" t="s">
        <v>103</v>
      </c>
      <c r="M10" s="14">
        <v>2.0</v>
      </c>
      <c r="N10" s="13">
        <f t="shared" si="3"/>
        <v>8.5</v>
      </c>
      <c r="O10" s="14" t="s">
        <v>92</v>
      </c>
    </row>
    <row r="11" ht="37.5" customHeight="1">
      <c r="A11" s="13"/>
      <c r="B11" s="14" t="s">
        <v>104</v>
      </c>
      <c r="C11" s="14" t="s">
        <v>16</v>
      </c>
      <c r="D11" s="14">
        <f t="shared" si="1"/>
        <v>2</v>
      </c>
      <c r="E11" s="14" t="s">
        <v>89</v>
      </c>
      <c r="F11" s="14">
        <f t="shared" si="2"/>
        <v>1</v>
      </c>
      <c r="G11" s="14" t="s">
        <v>105</v>
      </c>
      <c r="H11" s="14" t="s">
        <v>75</v>
      </c>
      <c r="I11" s="14" t="s">
        <v>85</v>
      </c>
      <c r="J11" s="14" t="s">
        <v>106</v>
      </c>
      <c r="K11" s="14">
        <f>0.5+1+1+1</f>
        <v>3.5</v>
      </c>
      <c r="L11" s="14" t="s">
        <v>107</v>
      </c>
      <c r="M11" s="14">
        <v>2.0</v>
      </c>
      <c r="N11" s="13">
        <f t="shared" si="3"/>
        <v>8.5</v>
      </c>
      <c r="O11" s="14" t="s">
        <v>92</v>
      </c>
    </row>
    <row r="12" ht="37.5" customHeight="1">
      <c r="A12" s="13"/>
      <c r="B12" s="14" t="s">
        <v>108</v>
      </c>
      <c r="C12" s="14" t="s">
        <v>43</v>
      </c>
      <c r="D12" s="14">
        <f t="shared" si="1"/>
        <v>1</v>
      </c>
      <c r="E12" s="14" t="s">
        <v>89</v>
      </c>
      <c r="F12" s="14">
        <f t="shared" si="2"/>
        <v>1</v>
      </c>
      <c r="G12" s="14" t="s">
        <v>74</v>
      </c>
      <c r="H12" s="14" t="s">
        <v>75</v>
      </c>
      <c r="I12" s="14" t="s">
        <v>109</v>
      </c>
      <c r="J12" s="14" t="s">
        <v>110</v>
      </c>
      <c r="K12" s="14">
        <f>0.5+1+1.5+1</f>
        <v>4</v>
      </c>
      <c r="L12" s="14" t="s">
        <v>103</v>
      </c>
      <c r="M12" s="14">
        <v>2.0</v>
      </c>
      <c r="N12" s="13">
        <f t="shared" si="3"/>
        <v>8</v>
      </c>
      <c r="O12" s="14" t="s">
        <v>92</v>
      </c>
    </row>
    <row r="13" ht="37.5" customHeight="1">
      <c r="A13" s="13"/>
      <c r="B13" s="14" t="s">
        <v>111</v>
      </c>
      <c r="C13" s="14" t="s">
        <v>16</v>
      </c>
      <c r="D13" s="14">
        <f t="shared" si="1"/>
        <v>2</v>
      </c>
      <c r="E13" s="14" t="s">
        <v>89</v>
      </c>
      <c r="F13" s="14">
        <f t="shared" si="2"/>
        <v>1</v>
      </c>
      <c r="G13" s="14" t="s">
        <v>112</v>
      </c>
      <c r="H13" s="14" t="s">
        <v>75</v>
      </c>
      <c r="I13" s="14" t="s">
        <v>85</v>
      </c>
      <c r="J13" s="14" t="s">
        <v>113</v>
      </c>
      <c r="K13" s="13">
        <f>0.5+1+0.5+1</f>
        <v>3</v>
      </c>
      <c r="L13" s="14" t="s">
        <v>107</v>
      </c>
      <c r="M13" s="14">
        <v>2.0</v>
      </c>
      <c r="N13" s="13">
        <f t="shared" si="3"/>
        <v>8</v>
      </c>
      <c r="O13" s="14" t="s">
        <v>92</v>
      </c>
    </row>
    <row r="14" ht="37.5" customHeight="1">
      <c r="A14" s="13"/>
      <c r="B14" s="14" t="s">
        <v>114</v>
      </c>
      <c r="C14" s="14" t="s">
        <v>16</v>
      </c>
      <c r="D14" s="14">
        <f t="shared" si="1"/>
        <v>2</v>
      </c>
      <c r="E14" s="14" t="s">
        <v>94</v>
      </c>
      <c r="F14" s="14">
        <f t="shared" si="2"/>
        <v>1</v>
      </c>
      <c r="G14" s="14" t="s">
        <v>112</v>
      </c>
      <c r="H14" s="14" t="s">
        <v>90</v>
      </c>
      <c r="I14" s="14" t="s">
        <v>75</v>
      </c>
      <c r="J14" s="14" t="s">
        <v>115</v>
      </c>
      <c r="K14" s="13">
        <f>0.5+0.5+1+1</f>
        <v>3</v>
      </c>
      <c r="L14" s="14" t="s">
        <v>116</v>
      </c>
      <c r="M14" s="14">
        <v>2.0</v>
      </c>
      <c r="N14" s="13">
        <f t="shared" si="3"/>
        <v>8</v>
      </c>
      <c r="O14" s="14" t="s">
        <v>92</v>
      </c>
    </row>
    <row r="15" ht="37.5" customHeight="1">
      <c r="A15" s="13"/>
      <c r="B15" s="14" t="s">
        <v>117</v>
      </c>
      <c r="C15" s="14" t="s">
        <v>24</v>
      </c>
      <c r="D15" s="14">
        <f t="shared" si="1"/>
        <v>2</v>
      </c>
      <c r="E15" s="14" t="s">
        <v>73</v>
      </c>
      <c r="F15" s="14">
        <f t="shared" si="2"/>
        <v>1</v>
      </c>
      <c r="G15" s="14" t="s">
        <v>118</v>
      </c>
      <c r="H15" s="14" t="s">
        <v>90</v>
      </c>
      <c r="I15" s="14" t="s">
        <v>85</v>
      </c>
      <c r="J15" s="14" t="s">
        <v>119</v>
      </c>
      <c r="K15" s="13">
        <f>0.5+0.5+1+1+0.5</f>
        <v>3.5</v>
      </c>
      <c r="L15" s="14" t="s">
        <v>70</v>
      </c>
      <c r="M15" s="14">
        <v>1.0</v>
      </c>
      <c r="N15" s="13">
        <f t="shared" si="3"/>
        <v>7.5</v>
      </c>
      <c r="O15" s="14" t="s">
        <v>120</v>
      </c>
    </row>
    <row r="16" ht="37.5" customHeight="1">
      <c r="A16" s="13"/>
      <c r="B16" s="14" t="s">
        <v>121</v>
      </c>
      <c r="C16" s="14" t="s">
        <v>43</v>
      </c>
      <c r="D16" s="14">
        <f t="shared" si="1"/>
        <v>1</v>
      </c>
      <c r="E16" s="14" t="s">
        <v>73</v>
      </c>
      <c r="F16" s="14">
        <f t="shared" si="2"/>
        <v>1</v>
      </c>
      <c r="G16" s="14" t="s">
        <v>122</v>
      </c>
      <c r="H16" s="14" t="s">
        <v>75</v>
      </c>
      <c r="I16" s="14" t="s">
        <v>85</v>
      </c>
      <c r="J16" s="14" t="s">
        <v>123</v>
      </c>
      <c r="K16" s="13">
        <f>0.5+1+1+1</f>
        <v>3.5</v>
      </c>
      <c r="L16" s="14" t="s">
        <v>116</v>
      </c>
      <c r="M16" s="14">
        <v>2.0</v>
      </c>
      <c r="N16" s="13">
        <f t="shared" si="3"/>
        <v>7.5</v>
      </c>
      <c r="O16" s="14" t="s">
        <v>120</v>
      </c>
    </row>
    <row r="17" ht="37.5" customHeight="1">
      <c r="A17" s="13"/>
      <c r="B17" s="14" t="s">
        <v>124</v>
      </c>
      <c r="C17" s="14" t="s">
        <v>16</v>
      </c>
      <c r="D17" s="14">
        <f t="shared" si="1"/>
        <v>2</v>
      </c>
      <c r="E17" s="14" t="s">
        <v>65</v>
      </c>
      <c r="F17" s="14">
        <f>IF(OR(E17="Kinetic",E17="Solar",AND(E17="Void",C17="Aggressive")),2,0)</f>
        <v>0</v>
      </c>
      <c r="G17" s="14" t="s">
        <v>105</v>
      </c>
      <c r="H17" s="14" t="s">
        <v>125</v>
      </c>
      <c r="I17" s="14" t="s">
        <v>76</v>
      </c>
      <c r="J17" s="14" t="s">
        <v>126</v>
      </c>
      <c r="K17" s="14">
        <f>0.5+0.5+0.5+1+0.5+1</f>
        <v>4</v>
      </c>
      <c r="L17" s="14" t="s">
        <v>116</v>
      </c>
      <c r="M17" s="14">
        <v>1.0</v>
      </c>
      <c r="N17" s="13">
        <f t="shared" si="3"/>
        <v>7</v>
      </c>
      <c r="O17" s="14" t="s">
        <v>120</v>
      </c>
    </row>
    <row r="18" ht="37.5" customHeight="1">
      <c r="A18" s="13"/>
      <c r="B18" s="14" t="s">
        <v>127</v>
      </c>
      <c r="C18" s="14" t="s">
        <v>16</v>
      </c>
      <c r="D18" s="14">
        <f t="shared" si="1"/>
        <v>2</v>
      </c>
      <c r="E18" s="14" t="s">
        <v>89</v>
      </c>
      <c r="F18" s="14">
        <f t="shared" ref="F18:F44" si="4">IF(OR(E18="Kinetic",E18="Solar",AND(E18="Void",C18="Aggressive")),1,0)</f>
        <v>1</v>
      </c>
      <c r="G18" s="14" t="s">
        <v>100</v>
      </c>
      <c r="H18" s="14" t="s">
        <v>75</v>
      </c>
      <c r="I18" s="14" t="s">
        <v>75</v>
      </c>
      <c r="J18" s="14" t="s">
        <v>128</v>
      </c>
      <c r="K18" s="14">
        <f>0.5+0.5+1+1</f>
        <v>3</v>
      </c>
      <c r="L18" s="14" t="s">
        <v>107</v>
      </c>
      <c r="M18" s="14">
        <v>1.0</v>
      </c>
      <c r="N18" s="13">
        <f t="shared" si="3"/>
        <v>7</v>
      </c>
      <c r="O18" s="14" t="s">
        <v>120</v>
      </c>
    </row>
    <row r="19" ht="37.5" customHeight="1">
      <c r="A19" s="13"/>
      <c r="B19" s="14" t="s">
        <v>129</v>
      </c>
      <c r="C19" s="14" t="s">
        <v>16</v>
      </c>
      <c r="D19" s="14">
        <f t="shared" si="1"/>
        <v>2</v>
      </c>
      <c r="E19" s="14" t="s">
        <v>73</v>
      </c>
      <c r="F19" s="14">
        <f t="shared" si="4"/>
        <v>1</v>
      </c>
      <c r="G19" s="14" t="s">
        <v>105</v>
      </c>
      <c r="H19" s="14" t="s">
        <v>75</v>
      </c>
      <c r="I19" s="14" t="s">
        <v>75</v>
      </c>
      <c r="J19" s="14" t="s">
        <v>95</v>
      </c>
      <c r="K19" s="14">
        <f>0.5+0.5+1</f>
        <v>2</v>
      </c>
      <c r="L19" s="14" t="s">
        <v>116</v>
      </c>
      <c r="M19" s="14">
        <v>2.0</v>
      </c>
      <c r="N19" s="13">
        <f t="shared" si="3"/>
        <v>7</v>
      </c>
      <c r="O19" s="14" t="s">
        <v>120</v>
      </c>
    </row>
    <row r="20" ht="37.5" customHeight="1">
      <c r="A20" s="13"/>
      <c r="B20" s="14" t="s">
        <v>130</v>
      </c>
      <c r="C20" s="14" t="s">
        <v>24</v>
      </c>
      <c r="D20" s="14">
        <f t="shared" si="1"/>
        <v>2</v>
      </c>
      <c r="E20" s="14" t="s">
        <v>89</v>
      </c>
      <c r="F20" s="14">
        <f t="shared" si="4"/>
        <v>1</v>
      </c>
      <c r="G20" s="14" t="s">
        <v>75</v>
      </c>
      <c r="H20" s="14" t="s">
        <v>90</v>
      </c>
      <c r="I20" s="14" t="s">
        <v>75</v>
      </c>
      <c r="J20" s="14" t="s">
        <v>131</v>
      </c>
      <c r="K20" s="13">
        <f>0.5+1+0.5+1</f>
        <v>3</v>
      </c>
      <c r="L20" s="14" t="s">
        <v>87</v>
      </c>
      <c r="M20" s="14">
        <v>1.0</v>
      </c>
      <c r="N20" s="13">
        <f t="shared" si="3"/>
        <v>7</v>
      </c>
      <c r="O20" s="14" t="s">
        <v>120</v>
      </c>
    </row>
    <row r="21" ht="37.5" customHeight="1">
      <c r="A21" s="13"/>
      <c r="B21" s="14" t="s">
        <v>132</v>
      </c>
      <c r="C21" s="14" t="s">
        <v>24</v>
      </c>
      <c r="D21" s="14">
        <f t="shared" si="1"/>
        <v>2</v>
      </c>
      <c r="E21" s="14" t="s">
        <v>73</v>
      </c>
      <c r="F21" s="14">
        <f t="shared" si="4"/>
        <v>1</v>
      </c>
      <c r="G21" s="14" t="s">
        <v>74</v>
      </c>
      <c r="H21" s="14" t="s">
        <v>125</v>
      </c>
      <c r="I21" s="14" t="s">
        <v>75</v>
      </c>
      <c r="J21" s="14" t="s">
        <v>95</v>
      </c>
      <c r="K21" s="13">
        <f>0.5+0.5+1+1</f>
        <v>3</v>
      </c>
      <c r="L21" s="14" t="s">
        <v>70</v>
      </c>
      <c r="M21" s="14">
        <v>1.0</v>
      </c>
      <c r="N21" s="13">
        <f t="shared" si="3"/>
        <v>7</v>
      </c>
      <c r="O21" s="14" t="s">
        <v>120</v>
      </c>
    </row>
    <row r="22" ht="37.5" customHeight="1">
      <c r="A22" s="13"/>
      <c r="B22" s="14" t="s">
        <v>133</v>
      </c>
      <c r="C22" s="14" t="s">
        <v>16</v>
      </c>
      <c r="D22" s="14">
        <f t="shared" si="1"/>
        <v>2</v>
      </c>
      <c r="E22" s="14" t="s">
        <v>65</v>
      </c>
      <c r="F22" s="14">
        <f t="shared" si="4"/>
        <v>0</v>
      </c>
      <c r="G22" s="14" t="s">
        <v>79</v>
      </c>
      <c r="H22" s="14" t="s">
        <v>75</v>
      </c>
      <c r="I22" s="14" t="s">
        <v>134</v>
      </c>
      <c r="J22" s="14" t="s">
        <v>135</v>
      </c>
      <c r="K22" s="14">
        <f>0.5+0.5+0.5+1</f>
        <v>2.5</v>
      </c>
      <c r="L22" s="14" t="s">
        <v>116</v>
      </c>
      <c r="M22" s="14">
        <v>2.0</v>
      </c>
      <c r="N22" s="13">
        <f t="shared" si="3"/>
        <v>6.5</v>
      </c>
      <c r="O22" s="14" t="s">
        <v>136</v>
      </c>
    </row>
    <row r="23" ht="37.5" customHeight="1">
      <c r="A23" s="13"/>
      <c r="B23" s="14" t="s">
        <v>137</v>
      </c>
      <c r="C23" s="14" t="s">
        <v>16</v>
      </c>
      <c r="D23" s="14">
        <f t="shared" si="1"/>
        <v>2</v>
      </c>
      <c r="E23" s="14" t="s">
        <v>65</v>
      </c>
      <c r="F23" s="14">
        <f t="shared" si="4"/>
        <v>0</v>
      </c>
      <c r="G23" s="14" t="s">
        <v>112</v>
      </c>
      <c r="H23" s="14" t="s">
        <v>75</v>
      </c>
      <c r="I23" s="14" t="s">
        <v>75</v>
      </c>
      <c r="J23" s="14" t="s">
        <v>138</v>
      </c>
      <c r="K23" s="14">
        <f>0.5+1+1+1</f>
        <v>3.5</v>
      </c>
      <c r="L23" s="14" t="s">
        <v>70</v>
      </c>
      <c r="M23" s="14">
        <v>1.0</v>
      </c>
      <c r="N23" s="13">
        <f t="shared" si="3"/>
        <v>6.5</v>
      </c>
      <c r="O23" s="14" t="s">
        <v>136</v>
      </c>
    </row>
    <row r="24" ht="37.5" customHeight="1">
      <c r="A24" s="13"/>
      <c r="B24" s="14" t="s">
        <v>139</v>
      </c>
      <c r="C24" s="14" t="s">
        <v>24</v>
      </c>
      <c r="D24" s="14">
        <f t="shared" si="1"/>
        <v>2</v>
      </c>
      <c r="E24" s="14" t="s">
        <v>89</v>
      </c>
      <c r="F24" s="14">
        <f t="shared" si="4"/>
        <v>1</v>
      </c>
      <c r="G24" s="14" t="s">
        <v>140</v>
      </c>
      <c r="H24" s="14" t="s">
        <v>75</v>
      </c>
      <c r="I24" s="14" t="s">
        <v>75</v>
      </c>
      <c r="J24" s="14" t="s">
        <v>141</v>
      </c>
      <c r="K24" s="13">
        <f>0.5+1</f>
        <v>1.5</v>
      </c>
      <c r="L24" s="14" t="s">
        <v>107</v>
      </c>
      <c r="M24" s="14">
        <v>2.0</v>
      </c>
      <c r="N24" s="13">
        <f t="shared" si="3"/>
        <v>6.5</v>
      </c>
      <c r="O24" s="14" t="s">
        <v>136</v>
      </c>
    </row>
    <row r="25" ht="37.5" customHeight="1">
      <c r="A25" s="13"/>
      <c r="B25" s="14" t="s">
        <v>142</v>
      </c>
      <c r="C25" s="14" t="s">
        <v>16</v>
      </c>
      <c r="D25" s="14">
        <f t="shared" si="1"/>
        <v>2</v>
      </c>
      <c r="E25" s="14" t="s">
        <v>65</v>
      </c>
      <c r="F25" s="14">
        <f t="shared" si="4"/>
        <v>0</v>
      </c>
      <c r="G25" s="14" t="s">
        <v>79</v>
      </c>
      <c r="H25" s="14" t="s">
        <v>75</v>
      </c>
      <c r="I25" s="14" t="s">
        <v>75</v>
      </c>
      <c r="J25" s="14" t="s">
        <v>143</v>
      </c>
      <c r="K25" s="14">
        <f>0.5+0.5+1+1</f>
        <v>3</v>
      </c>
      <c r="L25" s="14" t="s">
        <v>116</v>
      </c>
      <c r="M25" s="14">
        <v>1.0</v>
      </c>
      <c r="N25" s="13">
        <f t="shared" si="3"/>
        <v>6</v>
      </c>
      <c r="O25" s="14" t="s">
        <v>136</v>
      </c>
    </row>
    <row r="26" ht="37.5" customHeight="1">
      <c r="A26" s="13"/>
      <c r="B26" s="14" t="s">
        <v>144</v>
      </c>
      <c r="C26" s="14" t="s">
        <v>16</v>
      </c>
      <c r="D26" s="14">
        <f t="shared" si="1"/>
        <v>2</v>
      </c>
      <c r="E26" s="14" t="s">
        <v>73</v>
      </c>
      <c r="F26" s="14">
        <f t="shared" si="4"/>
        <v>1</v>
      </c>
      <c r="G26" s="14" t="s">
        <v>79</v>
      </c>
      <c r="H26" s="14" t="s">
        <v>75</v>
      </c>
      <c r="I26" s="14" t="s">
        <v>75</v>
      </c>
      <c r="J26" s="14" t="s">
        <v>141</v>
      </c>
      <c r="K26" s="14">
        <f>0.5+1</f>
        <v>1.5</v>
      </c>
      <c r="L26" s="14" t="s">
        <v>116</v>
      </c>
      <c r="M26" s="14">
        <v>1.0</v>
      </c>
      <c r="N26" s="13">
        <f t="shared" si="3"/>
        <v>5.5</v>
      </c>
      <c r="O26" s="14" t="s">
        <v>136</v>
      </c>
    </row>
    <row r="27" ht="37.5" customHeight="1">
      <c r="A27" s="13"/>
      <c r="B27" s="14" t="s">
        <v>145</v>
      </c>
      <c r="C27" s="14" t="s">
        <v>43</v>
      </c>
      <c r="D27" s="14">
        <f t="shared" si="1"/>
        <v>1</v>
      </c>
      <c r="E27" s="14" t="s">
        <v>94</v>
      </c>
      <c r="F27" s="14">
        <f t="shared" si="4"/>
        <v>0</v>
      </c>
      <c r="G27" s="14" t="s">
        <v>75</v>
      </c>
      <c r="H27" s="14" t="s">
        <v>146</v>
      </c>
      <c r="I27" s="14" t="s">
        <v>147</v>
      </c>
      <c r="J27" s="14" t="s">
        <v>148</v>
      </c>
      <c r="K27" s="13">
        <f>0.5+1+1+1</f>
        <v>3.5</v>
      </c>
      <c r="L27" s="14" t="s">
        <v>116</v>
      </c>
      <c r="M27" s="14">
        <v>1.0</v>
      </c>
      <c r="N27" s="13">
        <f t="shared" si="3"/>
        <v>5.5</v>
      </c>
      <c r="O27" s="14" t="s">
        <v>136</v>
      </c>
    </row>
    <row r="28" ht="37.5" customHeight="1">
      <c r="A28" s="13"/>
      <c r="B28" s="14" t="s">
        <v>149</v>
      </c>
      <c r="C28" s="14" t="s">
        <v>24</v>
      </c>
      <c r="D28" s="14">
        <f t="shared" si="1"/>
        <v>2</v>
      </c>
      <c r="E28" s="14" t="s">
        <v>83</v>
      </c>
      <c r="F28" s="14">
        <f t="shared" si="4"/>
        <v>0</v>
      </c>
      <c r="G28" s="14" t="s">
        <v>74</v>
      </c>
      <c r="H28" s="14" t="s">
        <v>75</v>
      </c>
      <c r="I28" s="14" t="s">
        <v>75</v>
      </c>
      <c r="J28" s="14" t="s">
        <v>150</v>
      </c>
      <c r="K28" s="13">
        <f>0.5+1+1</f>
        <v>2.5</v>
      </c>
      <c r="L28" s="14" t="s">
        <v>70</v>
      </c>
      <c r="M28" s="14">
        <v>1.0</v>
      </c>
      <c r="N28" s="13">
        <f t="shared" si="3"/>
        <v>5.5</v>
      </c>
      <c r="O28" s="14" t="s">
        <v>136</v>
      </c>
    </row>
    <row r="29" ht="37.5" customHeight="1">
      <c r="A29" s="13"/>
      <c r="B29" s="14" t="s">
        <v>151</v>
      </c>
      <c r="C29" s="14" t="s">
        <v>17</v>
      </c>
      <c r="D29" s="14">
        <f t="shared" si="1"/>
        <v>0</v>
      </c>
      <c r="E29" s="14" t="s">
        <v>73</v>
      </c>
      <c r="F29" s="14">
        <f t="shared" si="4"/>
        <v>1</v>
      </c>
      <c r="G29" s="14" t="s">
        <v>152</v>
      </c>
      <c r="H29" s="14" t="s">
        <v>90</v>
      </c>
      <c r="I29" s="14" t="s">
        <v>76</v>
      </c>
      <c r="J29" s="14" t="s">
        <v>153</v>
      </c>
      <c r="K29" s="14">
        <f>0.5+1+1+0.5+1</f>
        <v>4</v>
      </c>
      <c r="L29" s="14" t="s">
        <v>70</v>
      </c>
      <c r="M29" s="14">
        <v>0.0</v>
      </c>
      <c r="N29" s="13">
        <f t="shared" si="3"/>
        <v>5</v>
      </c>
      <c r="O29" s="14" t="s">
        <v>136</v>
      </c>
    </row>
    <row r="30" ht="37.5" customHeight="1">
      <c r="A30" s="13"/>
      <c r="B30" s="14" t="s">
        <v>154</v>
      </c>
      <c r="C30" s="14" t="s">
        <v>43</v>
      </c>
      <c r="D30" s="14">
        <f t="shared" si="1"/>
        <v>1</v>
      </c>
      <c r="E30" s="14" t="s">
        <v>65</v>
      </c>
      <c r="F30" s="14">
        <f t="shared" si="4"/>
        <v>0</v>
      </c>
      <c r="G30" s="14" t="s">
        <v>75</v>
      </c>
      <c r="H30" s="14" t="s">
        <v>75</v>
      </c>
      <c r="I30" s="14" t="s">
        <v>85</v>
      </c>
      <c r="J30" s="14" t="s">
        <v>155</v>
      </c>
      <c r="K30" s="14">
        <f>1+1+1</f>
        <v>3</v>
      </c>
      <c r="L30" s="14" t="s">
        <v>116</v>
      </c>
      <c r="M30" s="14">
        <v>1.0</v>
      </c>
      <c r="N30" s="13">
        <f t="shared" si="3"/>
        <v>5</v>
      </c>
      <c r="O30" s="14" t="s">
        <v>136</v>
      </c>
    </row>
    <row r="31" ht="37.5" customHeight="1">
      <c r="A31" s="13"/>
      <c r="B31" s="14" t="s">
        <v>156</v>
      </c>
      <c r="C31" s="14" t="s">
        <v>43</v>
      </c>
      <c r="D31" s="14">
        <f t="shared" si="1"/>
        <v>1</v>
      </c>
      <c r="E31" s="14" t="s">
        <v>157</v>
      </c>
      <c r="F31" s="14">
        <f t="shared" si="4"/>
        <v>0</v>
      </c>
      <c r="G31" s="14" t="s">
        <v>79</v>
      </c>
      <c r="H31" s="14" t="s">
        <v>158</v>
      </c>
      <c r="I31" s="14" t="s">
        <v>75</v>
      </c>
      <c r="J31" s="14" t="s">
        <v>159</v>
      </c>
      <c r="K31" s="13">
        <f>0.5+0.5+1+1</f>
        <v>3</v>
      </c>
      <c r="L31" s="14" t="s">
        <v>107</v>
      </c>
      <c r="M31" s="14">
        <v>1.0</v>
      </c>
      <c r="N31" s="13">
        <f t="shared" si="3"/>
        <v>5</v>
      </c>
      <c r="O31" s="14" t="s">
        <v>136</v>
      </c>
    </row>
    <row r="32" ht="37.5" customHeight="1">
      <c r="A32" s="13"/>
      <c r="B32" s="14" t="s">
        <v>160</v>
      </c>
      <c r="C32" s="14" t="s">
        <v>14</v>
      </c>
      <c r="D32" s="14">
        <f t="shared" si="1"/>
        <v>3</v>
      </c>
      <c r="E32" s="14" t="s">
        <v>73</v>
      </c>
      <c r="F32" s="14">
        <f t="shared" si="4"/>
        <v>1</v>
      </c>
      <c r="G32" s="14" t="s">
        <v>74</v>
      </c>
      <c r="H32" s="14" t="s">
        <v>125</v>
      </c>
      <c r="I32" s="14" t="s">
        <v>76</v>
      </c>
      <c r="J32" s="14" t="s">
        <v>75</v>
      </c>
      <c r="K32" s="13">
        <f>0.5+0.5+1-1</f>
        <v>1</v>
      </c>
      <c r="L32" s="14" t="s">
        <v>70</v>
      </c>
      <c r="M32" s="14">
        <v>0.0</v>
      </c>
      <c r="N32" s="13">
        <f t="shared" si="3"/>
        <v>5</v>
      </c>
      <c r="O32" s="14" t="s">
        <v>136</v>
      </c>
    </row>
    <row r="33" ht="37.5" customHeight="1">
      <c r="A33" s="13"/>
      <c r="B33" s="14" t="s">
        <v>161</v>
      </c>
      <c r="C33" s="14" t="s">
        <v>43</v>
      </c>
      <c r="D33" s="14">
        <f t="shared" si="1"/>
        <v>1</v>
      </c>
      <c r="E33" s="14" t="s">
        <v>65</v>
      </c>
      <c r="F33" s="14">
        <f t="shared" si="4"/>
        <v>0</v>
      </c>
      <c r="G33" s="14" t="s">
        <v>162</v>
      </c>
      <c r="H33" s="14" t="s">
        <v>75</v>
      </c>
      <c r="I33" s="14" t="s">
        <v>85</v>
      </c>
      <c r="J33" s="14" t="s">
        <v>141</v>
      </c>
      <c r="K33" s="14">
        <f>0.5+1+1</f>
        <v>2.5</v>
      </c>
      <c r="L33" s="14" t="s">
        <v>116</v>
      </c>
      <c r="M33" s="14">
        <v>1.0</v>
      </c>
      <c r="N33" s="13">
        <f t="shared" si="3"/>
        <v>4.5</v>
      </c>
      <c r="O33" s="14" t="s">
        <v>136</v>
      </c>
    </row>
    <row r="34" ht="37.5" customHeight="1">
      <c r="A34" s="13"/>
      <c r="B34" s="14" t="s">
        <v>163</v>
      </c>
      <c r="C34" s="14" t="s">
        <v>17</v>
      </c>
      <c r="D34" s="14">
        <f t="shared" si="1"/>
        <v>0</v>
      </c>
      <c r="E34" s="14" t="s">
        <v>94</v>
      </c>
      <c r="F34" s="14">
        <f t="shared" si="4"/>
        <v>0</v>
      </c>
      <c r="G34" s="14" t="s">
        <v>140</v>
      </c>
      <c r="H34" s="14" t="s">
        <v>67</v>
      </c>
      <c r="I34" s="14" t="s">
        <v>75</v>
      </c>
      <c r="J34" s="14" t="s">
        <v>164</v>
      </c>
      <c r="K34" s="13">
        <f>0.5+0.5+0.5+1+1+1</f>
        <v>4.5</v>
      </c>
      <c r="L34" s="14" t="s">
        <v>70</v>
      </c>
      <c r="M34" s="14">
        <v>0.0</v>
      </c>
      <c r="N34" s="13">
        <f t="shared" si="3"/>
        <v>4.5</v>
      </c>
      <c r="O34" s="14" t="s">
        <v>136</v>
      </c>
    </row>
    <row r="35" ht="37.5" customHeight="1">
      <c r="A35" s="13"/>
      <c r="B35" s="14" t="s">
        <v>165</v>
      </c>
      <c r="C35" s="14" t="s">
        <v>16</v>
      </c>
      <c r="D35" s="14">
        <f t="shared" si="1"/>
        <v>2</v>
      </c>
      <c r="E35" s="14" t="s">
        <v>73</v>
      </c>
      <c r="F35" s="14">
        <f t="shared" si="4"/>
        <v>1</v>
      </c>
      <c r="G35" s="14" t="s">
        <v>74</v>
      </c>
      <c r="H35" s="14" t="s">
        <v>75</v>
      </c>
      <c r="I35" s="14" t="s">
        <v>75</v>
      </c>
      <c r="J35" s="14" t="s">
        <v>166</v>
      </c>
      <c r="K35" s="14">
        <f>0.5+0.5</f>
        <v>1</v>
      </c>
      <c r="L35" s="14" t="s">
        <v>116</v>
      </c>
      <c r="M35" s="14">
        <v>0.0</v>
      </c>
      <c r="N35" s="13">
        <f t="shared" si="3"/>
        <v>4</v>
      </c>
      <c r="O35" s="14" t="s">
        <v>167</v>
      </c>
    </row>
    <row r="36" ht="37.5" customHeight="1">
      <c r="A36" s="13"/>
      <c r="B36" s="14" t="s">
        <v>168</v>
      </c>
      <c r="C36" s="14" t="s">
        <v>16</v>
      </c>
      <c r="D36" s="14">
        <f t="shared" si="1"/>
        <v>2</v>
      </c>
      <c r="E36" s="14" t="s">
        <v>89</v>
      </c>
      <c r="F36" s="14">
        <f t="shared" si="4"/>
        <v>1</v>
      </c>
      <c r="G36" s="14" t="s">
        <v>74</v>
      </c>
      <c r="H36" s="14" t="s">
        <v>125</v>
      </c>
      <c r="I36" s="14" t="s">
        <v>75</v>
      </c>
      <c r="J36" s="14" t="s">
        <v>75</v>
      </c>
      <c r="K36" s="13">
        <f>0.5+0.5-1</f>
        <v>0</v>
      </c>
      <c r="L36" s="14" t="s">
        <v>107</v>
      </c>
      <c r="M36" s="14">
        <v>0.0</v>
      </c>
      <c r="N36" s="13">
        <f t="shared" si="3"/>
        <v>3</v>
      </c>
      <c r="O36" s="14" t="s">
        <v>167</v>
      </c>
    </row>
    <row r="37" ht="37.5" customHeight="1">
      <c r="A37" s="13"/>
      <c r="B37" s="14" t="s">
        <v>169</v>
      </c>
      <c r="C37" s="14" t="s">
        <v>43</v>
      </c>
      <c r="D37" s="14">
        <f t="shared" si="1"/>
        <v>1</v>
      </c>
      <c r="E37" s="14" t="s">
        <v>94</v>
      </c>
      <c r="F37" s="14">
        <f t="shared" si="4"/>
        <v>0</v>
      </c>
      <c r="G37" s="14" t="s">
        <v>79</v>
      </c>
      <c r="H37" s="14" t="s">
        <v>170</v>
      </c>
      <c r="I37" s="14" t="s">
        <v>85</v>
      </c>
      <c r="J37" s="14" t="s">
        <v>75</v>
      </c>
      <c r="K37" s="14">
        <f>0.5+0.5+0.5+1-1</f>
        <v>1.5</v>
      </c>
      <c r="L37" s="14" t="s">
        <v>116</v>
      </c>
      <c r="M37" s="14">
        <v>0.0</v>
      </c>
      <c r="N37" s="13">
        <f t="shared" si="3"/>
        <v>2.5</v>
      </c>
      <c r="O37" s="14" t="s">
        <v>167</v>
      </c>
    </row>
    <row r="38" ht="37.5" customHeight="1">
      <c r="A38" s="13"/>
      <c r="B38" s="14" t="s">
        <v>171</v>
      </c>
      <c r="C38" s="14" t="s">
        <v>24</v>
      </c>
      <c r="D38" s="14">
        <f t="shared" si="1"/>
        <v>2</v>
      </c>
      <c r="E38" s="14" t="s">
        <v>94</v>
      </c>
      <c r="F38" s="14">
        <f t="shared" si="4"/>
        <v>0</v>
      </c>
      <c r="G38" s="14" t="s">
        <v>118</v>
      </c>
      <c r="H38" s="14" t="s">
        <v>75</v>
      </c>
      <c r="I38" s="14" t="s">
        <v>75</v>
      </c>
      <c r="J38" s="14" t="s">
        <v>172</v>
      </c>
      <c r="K38" s="13">
        <f>0.5</f>
        <v>0.5</v>
      </c>
      <c r="L38" s="14" t="s">
        <v>70</v>
      </c>
      <c r="M38" s="14">
        <v>0.0</v>
      </c>
      <c r="N38" s="13">
        <f t="shared" si="3"/>
        <v>2.5</v>
      </c>
      <c r="O38" s="14" t="s">
        <v>167</v>
      </c>
    </row>
    <row r="39" ht="37.5" customHeight="1">
      <c r="A39" s="13"/>
      <c r="B39" s="14" t="s">
        <v>173</v>
      </c>
      <c r="C39" s="14" t="s">
        <v>43</v>
      </c>
      <c r="D39" s="14">
        <f t="shared" si="1"/>
        <v>1</v>
      </c>
      <c r="E39" s="14" t="s">
        <v>89</v>
      </c>
      <c r="F39" s="14">
        <f t="shared" si="4"/>
        <v>1</v>
      </c>
      <c r="G39" s="14" t="s">
        <v>174</v>
      </c>
      <c r="H39" s="14" t="s">
        <v>146</v>
      </c>
      <c r="I39" s="14" t="s">
        <v>75</v>
      </c>
      <c r="J39" s="14" t="s">
        <v>75</v>
      </c>
      <c r="K39" s="14">
        <f>0.5+0.5-1</f>
        <v>0</v>
      </c>
      <c r="L39" s="14" t="s">
        <v>107</v>
      </c>
      <c r="M39" s="14">
        <v>0.0</v>
      </c>
      <c r="N39" s="13">
        <f t="shared" si="3"/>
        <v>2</v>
      </c>
      <c r="O39" s="14" t="s">
        <v>167</v>
      </c>
    </row>
    <row r="40" ht="37.5" customHeight="1">
      <c r="A40" s="13"/>
      <c r="B40" s="14" t="s">
        <v>175</v>
      </c>
      <c r="C40" s="14" t="s">
        <v>24</v>
      </c>
      <c r="D40" s="14">
        <f t="shared" si="1"/>
        <v>2</v>
      </c>
      <c r="E40" s="14" t="s">
        <v>89</v>
      </c>
      <c r="F40" s="14">
        <f t="shared" si="4"/>
        <v>1</v>
      </c>
      <c r="G40" s="14" t="s">
        <v>75</v>
      </c>
      <c r="H40" s="14" t="s">
        <v>75</v>
      </c>
      <c r="I40" s="14" t="s">
        <v>75</v>
      </c>
      <c r="J40" s="14" t="s">
        <v>75</v>
      </c>
      <c r="K40" s="14">
        <f>0-1</f>
        <v>-1</v>
      </c>
      <c r="L40" s="14" t="s">
        <v>107</v>
      </c>
      <c r="M40" s="14">
        <v>0.0</v>
      </c>
      <c r="N40" s="13">
        <f t="shared" si="3"/>
        <v>2</v>
      </c>
      <c r="O40" s="14" t="s">
        <v>167</v>
      </c>
    </row>
    <row r="41" ht="37.5" customHeight="1">
      <c r="A41" s="13"/>
      <c r="B41" s="14" t="s">
        <v>176</v>
      </c>
      <c r="C41" s="14" t="s">
        <v>17</v>
      </c>
      <c r="D41" s="14">
        <f t="shared" si="1"/>
        <v>0</v>
      </c>
      <c r="E41" s="14" t="s">
        <v>157</v>
      </c>
      <c r="F41" s="14">
        <f t="shared" si="4"/>
        <v>0</v>
      </c>
      <c r="G41" s="14" t="s">
        <v>177</v>
      </c>
      <c r="H41" s="14" t="s">
        <v>90</v>
      </c>
      <c r="I41" s="14" t="s">
        <v>75</v>
      </c>
      <c r="J41" s="14" t="s">
        <v>172</v>
      </c>
      <c r="K41" s="14">
        <f t="shared" ref="K41:K42" si="5">0.5+1</f>
        <v>1.5</v>
      </c>
      <c r="L41" s="14" t="s">
        <v>87</v>
      </c>
      <c r="M41" s="14">
        <v>0.0</v>
      </c>
      <c r="N41" s="13">
        <f t="shared" si="3"/>
        <v>1.5</v>
      </c>
      <c r="O41" s="14" t="s">
        <v>167</v>
      </c>
    </row>
    <row r="42" ht="37.5" customHeight="1">
      <c r="A42" s="13"/>
      <c r="B42" s="14" t="s">
        <v>178</v>
      </c>
      <c r="C42" s="14" t="s">
        <v>17</v>
      </c>
      <c r="D42" s="14">
        <f t="shared" si="1"/>
        <v>0</v>
      </c>
      <c r="E42" s="14" t="s">
        <v>65</v>
      </c>
      <c r="F42" s="14">
        <f t="shared" si="4"/>
        <v>0</v>
      </c>
      <c r="G42" s="14" t="s">
        <v>74</v>
      </c>
      <c r="H42" s="14" t="s">
        <v>90</v>
      </c>
      <c r="I42" s="14" t="s">
        <v>75</v>
      </c>
      <c r="J42" s="14" t="s">
        <v>166</v>
      </c>
      <c r="K42" s="14">
        <f t="shared" si="5"/>
        <v>1.5</v>
      </c>
      <c r="L42" s="14" t="s">
        <v>70</v>
      </c>
      <c r="M42" s="14">
        <v>0.0</v>
      </c>
      <c r="N42" s="13">
        <f t="shared" si="3"/>
        <v>1.5</v>
      </c>
      <c r="O42" s="14" t="s">
        <v>167</v>
      </c>
    </row>
    <row r="43" ht="37.5" customHeight="1">
      <c r="A43" s="13"/>
      <c r="B43" s="14" t="s">
        <v>179</v>
      </c>
      <c r="C43" s="14" t="s">
        <v>17</v>
      </c>
      <c r="D43" s="14">
        <f t="shared" si="1"/>
        <v>0</v>
      </c>
      <c r="E43" s="14" t="s">
        <v>65</v>
      </c>
      <c r="F43" s="14">
        <f t="shared" si="4"/>
        <v>0</v>
      </c>
      <c r="G43" s="14" t="s">
        <v>75</v>
      </c>
      <c r="H43" s="14" t="s">
        <v>75</v>
      </c>
      <c r="I43" s="14" t="s">
        <v>75</v>
      </c>
      <c r="J43" s="14" t="s">
        <v>166</v>
      </c>
      <c r="K43" s="13">
        <f>1</f>
        <v>1</v>
      </c>
      <c r="L43" s="14" t="s">
        <v>70</v>
      </c>
      <c r="M43" s="14">
        <v>0.0</v>
      </c>
      <c r="N43" s="13">
        <f t="shared" si="3"/>
        <v>1</v>
      </c>
      <c r="O43" s="14" t="s">
        <v>167</v>
      </c>
    </row>
    <row r="44" ht="37.5" customHeight="1">
      <c r="A44" s="13"/>
      <c r="B44" s="14" t="s">
        <v>180</v>
      </c>
      <c r="C44" s="14" t="s">
        <v>43</v>
      </c>
      <c r="D44" s="14">
        <f t="shared" si="1"/>
        <v>1</v>
      </c>
      <c r="E44" s="14" t="s">
        <v>65</v>
      </c>
      <c r="F44" s="14">
        <f t="shared" si="4"/>
        <v>0</v>
      </c>
      <c r="G44" s="14" t="s">
        <v>75</v>
      </c>
      <c r="H44" s="14" t="s">
        <v>146</v>
      </c>
      <c r="I44" s="14" t="s">
        <v>75</v>
      </c>
      <c r="J44" s="14" t="s">
        <v>75</v>
      </c>
      <c r="K44" s="13">
        <f>0.5-1</f>
        <v>-0.5</v>
      </c>
      <c r="L44" s="14" t="s">
        <v>116</v>
      </c>
      <c r="M44" s="14">
        <v>0.0</v>
      </c>
      <c r="N44" s="13">
        <f t="shared" si="3"/>
        <v>0.5</v>
      </c>
      <c r="O44" s="14" t="s">
        <v>167</v>
      </c>
    </row>
  </sheetData>
  <autoFilter ref="$A$2:$O$44">
    <sortState ref="A2:O44">
      <sortCondition descending="1" ref="N2:N44"/>
      <sortCondition ref="B2:B44"/>
      <sortCondition descending="1" ref="O2:O44"/>
    </sortState>
  </autoFilter>
  <mergeCells count="6">
    <mergeCell ref="A1:B1"/>
    <mergeCell ref="C1:D1"/>
    <mergeCell ref="E1:F1"/>
    <mergeCell ref="G1:K1"/>
    <mergeCell ref="L1:M1"/>
    <mergeCell ref="N1:O1"/>
  </mergeCells>
  <conditionalFormatting sqref="N3:O44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8.25"/>
    <col customWidth="1" min="6" max="6" width="8.13"/>
    <col customWidth="1" min="7" max="8" width="18.88"/>
    <col customWidth="1" min="9" max="9" width="23.13"/>
    <col customWidth="1" min="10" max="10" width="8.13"/>
    <col customWidth="1" min="11" max="11" width="12.25"/>
    <col customWidth="1" min="12" max="12" width="8.13"/>
    <col customWidth="1" min="13" max="13" width="7.5"/>
    <col customWidth="1" min="14" max="14" width="6.63"/>
  </cols>
  <sheetData>
    <row r="1" ht="15.0" customHeight="1">
      <c r="A1" s="5" t="s">
        <v>47</v>
      </c>
      <c r="C1" s="6" t="s">
        <v>48</v>
      </c>
      <c r="E1" s="7" t="s">
        <v>49</v>
      </c>
      <c r="G1" s="8" t="s">
        <v>181</v>
      </c>
      <c r="K1" s="9" t="s">
        <v>51</v>
      </c>
      <c r="M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56</v>
      </c>
      <c r="G2" s="11" t="s">
        <v>0</v>
      </c>
      <c r="H2" s="11" t="s">
        <v>59</v>
      </c>
      <c r="I2" s="11" t="s">
        <v>60</v>
      </c>
      <c r="J2" s="11" t="s">
        <v>56</v>
      </c>
      <c r="K2" s="11" t="s">
        <v>61</v>
      </c>
      <c r="L2" s="11" t="s">
        <v>56</v>
      </c>
      <c r="M2" s="12" t="s">
        <v>62</v>
      </c>
      <c r="N2" s="12" t="s">
        <v>63</v>
      </c>
    </row>
    <row r="3" ht="37.5" customHeight="1">
      <c r="A3" s="13"/>
      <c r="B3" s="14" t="s">
        <v>182</v>
      </c>
      <c r="C3" s="14" t="s">
        <v>14</v>
      </c>
      <c r="D3" s="14">
        <f t="shared" ref="D3:D41" si="1">IFS(C3="Adaptive",0,C3="Aggressive",2,C3="Rapid",3)</f>
        <v>3</v>
      </c>
      <c r="E3" s="14" t="s">
        <v>89</v>
      </c>
      <c r="F3" s="14">
        <f t="shared" ref="F3:F41" si="2">IF(OR(E3="Kinetic",E3="Solar"),1,0)</f>
        <v>1</v>
      </c>
      <c r="G3" s="14" t="s">
        <v>101</v>
      </c>
      <c r="H3" s="14" t="s">
        <v>183</v>
      </c>
      <c r="I3" s="14" t="s">
        <v>184</v>
      </c>
      <c r="J3" s="14">
        <f>1+1+2+2+2</f>
        <v>8</v>
      </c>
      <c r="K3" s="14" t="s">
        <v>89</v>
      </c>
      <c r="L3" s="14">
        <v>2.0</v>
      </c>
      <c r="M3" s="13">
        <f t="shared" ref="M3:M41" si="3">SUM(D3:L3)</f>
        <v>14</v>
      </c>
      <c r="N3" s="14" t="s">
        <v>71</v>
      </c>
    </row>
    <row r="4" ht="37.5" customHeight="1">
      <c r="A4" s="13"/>
      <c r="B4" s="14" t="s">
        <v>185</v>
      </c>
      <c r="C4" s="14" t="s">
        <v>16</v>
      </c>
      <c r="D4" s="14">
        <f t="shared" si="1"/>
        <v>2</v>
      </c>
      <c r="E4" s="14" t="s">
        <v>89</v>
      </c>
      <c r="F4" s="14">
        <f t="shared" si="2"/>
        <v>1</v>
      </c>
      <c r="G4" s="14" t="s">
        <v>90</v>
      </c>
      <c r="H4" s="14" t="s">
        <v>186</v>
      </c>
      <c r="I4" s="14" t="s">
        <v>187</v>
      </c>
      <c r="J4" s="14">
        <f>1+1+1+2</f>
        <v>5</v>
      </c>
      <c r="K4" s="14" t="s">
        <v>89</v>
      </c>
      <c r="L4" s="14">
        <v>2.0</v>
      </c>
      <c r="M4" s="13">
        <f t="shared" si="3"/>
        <v>10</v>
      </c>
      <c r="N4" s="14" t="s">
        <v>71</v>
      </c>
    </row>
    <row r="5" ht="37.5" customHeight="1">
      <c r="A5" s="13"/>
      <c r="B5" s="14" t="s">
        <v>188</v>
      </c>
      <c r="C5" s="14" t="s">
        <v>14</v>
      </c>
      <c r="D5" s="14">
        <f t="shared" si="1"/>
        <v>3</v>
      </c>
      <c r="E5" s="14" t="s">
        <v>73</v>
      </c>
      <c r="F5" s="14">
        <f t="shared" si="2"/>
        <v>1</v>
      </c>
      <c r="G5" s="14" t="s">
        <v>90</v>
      </c>
      <c r="H5" s="14" t="s">
        <v>189</v>
      </c>
      <c r="I5" s="14" t="s">
        <v>190</v>
      </c>
      <c r="J5" s="14">
        <f>1+0.5+2</f>
        <v>3.5</v>
      </c>
      <c r="K5" s="14" t="s">
        <v>191</v>
      </c>
      <c r="L5" s="14">
        <v>2.0</v>
      </c>
      <c r="M5" s="13">
        <f t="shared" si="3"/>
        <v>9.5</v>
      </c>
      <c r="N5" s="14" t="s">
        <v>71</v>
      </c>
    </row>
    <row r="6" ht="37.5" customHeight="1">
      <c r="A6" s="13"/>
      <c r="B6" s="14" t="s">
        <v>192</v>
      </c>
      <c r="C6" s="14" t="s">
        <v>14</v>
      </c>
      <c r="D6" s="14">
        <f t="shared" si="1"/>
        <v>3</v>
      </c>
      <c r="E6" s="14" t="s">
        <v>157</v>
      </c>
      <c r="F6" s="14">
        <f t="shared" si="2"/>
        <v>0</v>
      </c>
      <c r="G6" s="14" t="s">
        <v>146</v>
      </c>
      <c r="H6" s="14" t="s">
        <v>193</v>
      </c>
      <c r="I6" s="14" t="s">
        <v>194</v>
      </c>
      <c r="J6" s="14">
        <f>2+0.5+0.5+0.5+2</f>
        <v>5.5</v>
      </c>
      <c r="K6" s="14" t="s">
        <v>89</v>
      </c>
      <c r="L6" s="14">
        <v>1.0</v>
      </c>
      <c r="M6" s="13">
        <f t="shared" si="3"/>
        <v>9.5</v>
      </c>
      <c r="N6" s="14" t="s">
        <v>71</v>
      </c>
    </row>
    <row r="7" ht="37.5" customHeight="1">
      <c r="A7" s="13"/>
      <c r="B7" s="14" t="s">
        <v>195</v>
      </c>
      <c r="C7" s="14" t="s">
        <v>14</v>
      </c>
      <c r="D7" s="14">
        <f t="shared" si="1"/>
        <v>3</v>
      </c>
      <c r="E7" s="14" t="s">
        <v>73</v>
      </c>
      <c r="F7" s="14">
        <f t="shared" si="2"/>
        <v>1</v>
      </c>
      <c r="G7" s="14" t="s">
        <v>146</v>
      </c>
      <c r="H7" s="14" t="s">
        <v>196</v>
      </c>
      <c r="I7" s="14" t="s">
        <v>197</v>
      </c>
      <c r="J7" s="13">
        <f>2+0.5+1</f>
        <v>3.5</v>
      </c>
      <c r="K7" s="14" t="s">
        <v>191</v>
      </c>
      <c r="L7" s="14">
        <v>1.0</v>
      </c>
      <c r="M7" s="13">
        <f t="shared" si="3"/>
        <v>8.5</v>
      </c>
      <c r="N7" s="14" t="s">
        <v>92</v>
      </c>
    </row>
    <row r="8" ht="37.5" customHeight="1">
      <c r="A8" s="13"/>
      <c r="B8" s="14" t="s">
        <v>198</v>
      </c>
      <c r="C8" s="14" t="s">
        <v>16</v>
      </c>
      <c r="D8" s="14">
        <f t="shared" si="1"/>
        <v>2</v>
      </c>
      <c r="E8" s="14" t="s">
        <v>73</v>
      </c>
      <c r="F8" s="14">
        <f t="shared" si="2"/>
        <v>1</v>
      </c>
      <c r="G8" s="14" t="s">
        <v>80</v>
      </c>
      <c r="H8" s="14" t="s">
        <v>199</v>
      </c>
      <c r="I8" s="14" t="s">
        <v>200</v>
      </c>
      <c r="J8" s="14">
        <f t="shared" ref="J8:J9" si="4">1+1+0.5+1+1</f>
        <v>4.5</v>
      </c>
      <c r="K8" s="14" t="s">
        <v>191</v>
      </c>
      <c r="L8" s="14">
        <v>1.0</v>
      </c>
      <c r="M8" s="13">
        <f t="shared" si="3"/>
        <v>8.5</v>
      </c>
      <c r="N8" s="14" t="s">
        <v>92</v>
      </c>
    </row>
    <row r="9" ht="37.5" customHeight="1">
      <c r="A9" s="13"/>
      <c r="B9" s="14" t="s">
        <v>201</v>
      </c>
      <c r="C9" s="14" t="s">
        <v>16</v>
      </c>
      <c r="D9" s="14">
        <f t="shared" si="1"/>
        <v>2</v>
      </c>
      <c r="E9" s="14" t="s">
        <v>73</v>
      </c>
      <c r="F9" s="14">
        <f t="shared" si="2"/>
        <v>1</v>
      </c>
      <c r="G9" s="14" t="s">
        <v>202</v>
      </c>
      <c r="H9" s="14" t="s">
        <v>203</v>
      </c>
      <c r="I9" s="14" t="s">
        <v>204</v>
      </c>
      <c r="J9" s="13">
        <f t="shared" si="4"/>
        <v>4.5</v>
      </c>
      <c r="K9" s="14" t="s">
        <v>191</v>
      </c>
      <c r="L9" s="14">
        <v>1.0</v>
      </c>
      <c r="M9" s="13">
        <f t="shared" si="3"/>
        <v>8.5</v>
      </c>
      <c r="N9" s="14" t="s">
        <v>92</v>
      </c>
    </row>
    <row r="10" ht="37.5" customHeight="1">
      <c r="A10" s="13"/>
      <c r="B10" s="14" t="s">
        <v>205</v>
      </c>
      <c r="C10" s="14" t="s">
        <v>16</v>
      </c>
      <c r="D10" s="14">
        <f t="shared" si="1"/>
        <v>2</v>
      </c>
      <c r="E10" s="14" t="s">
        <v>83</v>
      </c>
      <c r="F10" s="14">
        <f t="shared" si="2"/>
        <v>0</v>
      </c>
      <c r="G10" s="14" t="s">
        <v>158</v>
      </c>
      <c r="H10" s="14" t="s">
        <v>206</v>
      </c>
      <c r="I10" s="14" t="s">
        <v>207</v>
      </c>
      <c r="J10" s="14">
        <f>1+0.5+0.5+1+2+0.5</f>
        <v>5.5</v>
      </c>
      <c r="K10" s="14" t="s">
        <v>89</v>
      </c>
      <c r="L10" s="14">
        <v>1.0</v>
      </c>
      <c r="M10" s="13">
        <f t="shared" si="3"/>
        <v>8.5</v>
      </c>
      <c r="N10" s="14" t="s">
        <v>92</v>
      </c>
    </row>
    <row r="11" ht="37.5" customHeight="1">
      <c r="A11" s="13"/>
      <c r="B11" s="14" t="s">
        <v>208</v>
      </c>
      <c r="C11" s="14" t="s">
        <v>14</v>
      </c>
      <c r="D11" s="14">
        <f t="shared" si="1"/>
        <v>3</v>
      </c>
      <c r="E11" s="14" t="s">
        <v>94</v>
      </c>
      <c r="F11" s="14">
        <f t="shared" si="2"/>
        <v>0</v>
      </c>
      <c r="G11" s="14" t="s">
        <v>209</v>
      </c>
      <c r="H11" s="14" t="s">
        <v>210</v>
      </c>
      <c r="I11" s="14" t="s">
        <v>211</v>
      </c>
      <c r="J11" s="13">
        <f>1+1+0.5+1</f>
        <v>3.5</v>
      </c>
      <c r="K11" s="14" t="s">
        <v>191</v>
      </c>
      <c r="L11" s="14">
        <v>1.0</v>
      </c>
      <c r="M11" s="13">
        <f t="shared" si="3"/>
        <v>7.5</v>
      </c>
      <c r="N11" s="14" t="s">
        <v>92</v>
      </c>
    </row>
    <row r="12" ht="37.5" customHeight="1">
      <c r="A12" s="13"/>
      <c r="B12" s="14" t="s">
        <v>212</v>
      </c>
      <c r="C12" s="14" t="s">
        <v>16</v>
      </c>
      <c r="D12" s="14">
        <f t="shared" si="1"/>
        <v>2</v>
      </c>
      <c r="E12" s="14" t="s">
        <v>65</v>
      </c>
      <c r="F12" s="14">
        <f t="shared" si="2"/>
        <v>0</v>
      </c>
      <c r="G12" s="14" t="s">
        <v>202</v>
      </c>
      <c r="H12" s="14" t="s">
        <v>189</v>
      </c>
      <c r="I12" s="14" t="s">
        <v>213</v>
      </c>
      <c r="J12" s="14">
        <f>1+2+1</f>
        <v>4</v>
      </c>
      <c r="K12" s="14" t="s">
        <v>191</v>
      </c>
      <c r="L12" s="14">
        <v>1.0</v>
      </c>
      <c r="M12" s="13">
        <f t="shared" si="3"/>
        <v>7</v>
      </c>
      <c r="N12" s="14" t="s">
        <v>120</v>
      </c>
    </row>
    <row r="13" ht="37.5" customHeight="1">
      <c r="A13" s="13"/>
      <c r="B13" s="14" t="s">
        <v>214</v>
      </c>
      <c r="C13" s="14" t="s">
        <v>14</v>
      </c>
      <c r="D13" s="14">
        <f t="shared" si="1"/>
        <v>3</v>
      </c>
      <c r="E13" s="14" t="s">
        <v>89</v>
      </c>
      <c r="F13" s="14">
        <f t="shared" si="2"/>
        <v>1</v>
      </c>
      <c r="G13" s="14" t="s">
        <v>75</v>
      </c>
      <c r="H13" s="14" t="s">
        <v>183</v>
      </c>
      <c r="I13" s="14" t="s">
        <v>215</v>
      </c>
      <c r="J13" s="14">
        <f>1+1</f>
        <v>2</v>
      </c>
      <c r="K13" s="14" t="s">
        <v>89</v>
      </c>
      <c r="L13" s="14">
        <v>1.0</v>
      </c>
      <c r="M13" s="13">
        <f t="shared" si="3"/>
        <v>7</v>
      </c>
      <c r="N13" s="14" t="s">
        <v>120</v>
      </c>
    </row>
    <row r="14" ht="37.5" customHeight="1">
      <c r="A14" s="13"/>
      <c r="B14" s="14" t="s">
        <v>216</v>
      </c>
      <c r="C14" s="14" t="s">
        <v>16</v>
      </c>
      <c r="D14" s="14">
        <f t="shared" si="1"/>
        <v>2</v>
      </c>
      <c r="E14" s="14" t="s">
        <v>89</v>
      </c>
      <c r="F14" s="14">
        <f t="shared" si="2"/>
        <v>1</v>
      </c>
      <c r="G14" s="14" t="s">
        <v>158</v>
      </c>
      <c r="H14" s="14" t="s">
        <v>75</v>
      </c>
      <c r="I14" s="14" t="s">
        <v>217</v>
      </c>
      <c r="J14" s="14">
        <f>1+2</f>
        <v>3</v>
      </c>
      <c r="K14" s="14" t="s">
        <v>89</v>
      </c>
      <c r="L14" s="14">
        <v>1.0</v>
      </c>
      <c r="M14" s="13">
        <f t="shared" si="3"/>
        <v>7</v>
      </c>
      <c r="N14" s="14" t="s">
        <v>120</v>
      </c>
    </row>
    <row r="15" ht="37.5" customHeight="1">
      <c r="A15" s="13"/>
      <c r="B15" s="14" t="s">
        <v>218</v>
      </c>
      <c r="C15" s="14" t="s">
        <v>16</v>
      </c>
      <c r="D15" s="14">
        <f t="shared" si="1"/>
        <v>2</v>
      </c>
      <c r="E15" s="14" t="s">
        <v>73</v>
      </c>
      <c r="F15" s="14">
        <f t="shared" si="2"/>
        <v>1</v>
      </c>
      <c r="G15" s="14" t="s">
        <v>75</v>
      </c>
      <c r="H15" s="14" t="s">
        <v>219</v>
      </c>
      <c r="I15" s="14" t="s">
        <v>220</v>
      </c>
      <c r="J15" s="13">
        <f>0.5+0.5+2</f>
        <v>3</v>
      </c>
      <c r="K15" s="14" t="s">
        <v>191</v>
      </c>
      <c r="L15" s="14">
        <v>1.0</v>
      </c>
      <c r="M15" s="13">
        <f t="shared" si="3"/>
        <v>7</v>
      </c>
      <c r="N15" s="14" t="s">
        <v>120</v>
      </c>
    </row>
    <row r="16" ht="37.5" customHeight="1">
      <c r="A16" s="13"/>
      <c r="B16" s="14" t="s">
        <v>221</v>
      </c>
      <c r="C16" s="14" t="s">
        <v>14</v>
      </c>
      <c r="D16" s="14">
        <f t="shared" si="1"/>
        <v>3</v>
      </c>
      <c r="E16" s="14" t="s">
        <v>73</v>
      </c>
      <c r="F16" s="14">
        <f t="shared" si="2"/>
        <v>1</v>
      </c>
      <c r="G16" s="14" t="s">
        <v>90</v>
      </c>
      <c r="H16" s="14" t="s">
        <v>75</v>
      </c>
      <c r="I16" s="14" t="s">
        <v>141</v>
      </c>
      <c r="J16" s="13">
        <f>1+1</f>
        <v>2</v>
      </c>
      <c r="K16" s="14" t="s">
        <v>191</v>
      </c>
      <c r="L16" s="14">
        <v>1.0</v>
      </c>
      <c r="M16" s="13">
        <f t="shared" si="3"/>
        <v>7</v>
      </c>
      <c r="N16" s="14" t="s">
        <v>120</v>
      </c>
    </row>
    <row r="17" ht="37.5" customHeight="1">
      <c r="A17" s="13"/>
      <c r="B17" s="14" t="s">
        <v>222</v>
      </c>
      <c r="C17" s="14" t="s">
        <v>14</v>
      </c>
      <c r="D17" s="14">
        <f t="shared" si="1"/>
        <v>3</v>
      </c>
      <c r="E17" s="14" t="s">
        <v>157</v>
      </c>
      <c r="F17" s="14">
        <f t="shared" si="2"/>
        <v>0</v>
      </c>
      <c r="G17" s="14" t="s">
        <v>158</v>
      </c>
      <c r="H17" s="14" t="s">
        <v>196</v>
      </c>
      <c r="I17" s="14" t="s">
        <v>211</v>
      </c>
      <c r="J17" s="14">
        <f>1+0.5+1</f>
        <v>2.5</v>
      </c>
      <c r="K17" s="14" t="s">
        <v>89</v>
      </c>
      <c r="L17" s="14">
        <v>1.0</v>
      </c>
      <c r="M17" s="13">
        <f t="shared" si="3"/>
        <v>6.5</v>
      </c>
      <c r="N17" s="14" t="s">
        <v>120</v>
      </c>
    </row>
    <row r="18" ht="37.5" customHeight="1">
      <c r="A18" s="13"/>
      <c r="B18" s="14" t="s">
        <v>223</v>
      </c>
      <c r="C18" s="14" t="s">
        <v>16</v>
      </c>
      <c r="D18" s="14">
        <f t="shared" si="1"/>
        <v>2</v>
      </c>
      <c r="E18" s="14" t="s">
        <v>94</v>
      </c>
      <c r="F18" s="14">
        <f t="shared" si="2"/>
        <v>0</v>
      </c>
      <c r="G18" s="14" t="s">
        <v>224</v>
      </c>
      <c r="H18" s="14" t="s">
        <v>225</v>
      </c>
      <c r="I18" s="14" t="s">
        <v>226</v>
      </c>
      <c r="J18" s="13">
        <f>1+1+0.5+1</f>
        <v>3.5</v>
      </c>
      <c r="K18" s="14" t="s">
        <v>191</v>
      </c>
      <c r="L18" s="14">
        <v>1.0</v>
      </c>
      <c r="M18" s="13">
        <f t="shared" si="3"/>
        <v>6.5</v>
      </c>
      <c r="N18" s="14" t="s">
        <v>120</v>
      </c>
    </row>
    <row r="19" ht="37.5" customHeight="1">
      <c r="A19" s="13"/>
      <c r="B19" s="14" t="s">
        <v>227</v>
      </c>
      <c r="C19" s="14" t="s">
        <v>13</v>
      </c>
      <c r="D19" s="14">
        <f t="shared" si="1"/>
        <v>0</v>
      </c>
      <c r="E19" s="14" t="s">
        <v>94</v>
      </c>
      <c r="F19" s="14">
        <f t="shared" si="2"/>
        <v>0</v>
      </c>
      <c r="G19" s="14" t="s">
        <v>228</v>
      </c>
      <c r="H19" s="14" t="s">
        <v>85</v>
      </c>
      <c r="I19" s="14" t="s">
        <v>229</v>
      </c>
      <c r="J19" s="13">
        <f>2+1+0.5+2</f>
        <v>5.5</v>
      </c>
      <c r="K19" s="14" t="s">
        <v>191</v>
      </c>
      <c r="L19" s="14">
        <v>1.0</v>
      </c>
      <c r="M19" s="13">
        <f t="shared" si="3"/>
        <v>6.5</v>
      </c>
      <c r="N19" s="14" t="s">
        <v>120</v>
      </c>
    </row>
    <row r="20" ht="37.5" customHeight="1">
      <c r="A20" s="13"/>
      <c r="B20" s="14" t="s">
        <v>230</v>
      </c>
      <c r="C20" s="14" t="s">
        <v>13</v>
      </c>
      <c r="D20" s="14">
        <f t="shared" si="1"/>
        <v>0</v>
      </c>
      <c r="E20" s="14" t="s">
        <v>89</v>
      </c>
      <c r="F20" s="14">
        <f t="shared" si="2"/>
        <v>1</v>
      </c>
      <c r="G20" s="14" t="s">
        <v>90</v>
      </c>
      <c r="H20" s="14" t="s">
        <v>231</v>
      </c>
      <c r="I20" s="14" t="s">
        <v>232</v>
      </c>
      <c r="J20" s="14">
        <f>1+0.5+0.5+2</f>
        <v>4</v>
      </c>
      <c r="K20" s="14" t="s">
        <v>89</v>
      </c>
      <c r="L20" s="14">
        <v>1.0</v>
      </c>
      <c r="M20" s="13">
        <f t="shared" si="3"/>
        <v>6</v>
      </c>
      <c r="N20" s="14" t="s">
        <v>136</v>
      </c>
    </row>
    <row r="21" ht="37.5" customHeight="1">
      <c r="A21" s="13"/>
      <c r="B21" s="14" t="s">
        <v>233</v>
      </c>
      <c r="C21" s="14" t="s">
        <v>16</v>
      </c>
      <c r="D21" s="14">
        <f t="shared" si="1"/>
        <v>2</v>
      </c>
      <c r="E21" s="14" t="s">
        <v>65</v>
      </c>
      <c r="F21" s="14">
        <f t="shared" si="2"/>
        <v>0</v>
      </c>
      <c r="G21" s="14" t="s">
        <v>75</v>
      </c>
      <c r="H21" s="14" t="s">
        <v>85</v>
      </c>
      <c r="I21" s="14" t="s">
        <v>234</v>
      </c>
      <c r="J21" s="13">
        <f>0.5+2</f>
        <v>2.5</v>
      </c>
      <c r="K21" s="14" t="s">
        <v>191</v>
      </c>
      <c r="L21" s="14">
        <v>1.0</v>
      </c>
      <c r="M21" s="13">
        <f t="shared" si="3"/>
        <v>5.5</v>
      </c>
      <c r="N21" s="14" t="s">
        <v>136</v>
      </c>
    </row>
    <row r="22" ht="37.5" customHeight="1">
      <c r="A22" s="13"/>
      <c r="B22" s="14" t="s">
        <v>235</v>
      </c>
      <c r="C22" s="14" t="s">
        <v>13</v>
      </c>
      <c r="D22" s="14">
        <f t="shared" si="1"/>
        <v>0</v>
      </c>
      <c r="E22" s="14" t="s">
        <v>89</v>
      </c>
      <c r="F22" s="14">
        <f t="shared" si="2"/>
        <v>1</v>
      </c>
      <c r="G22" s="14" t="s">
        <v>90</v>
      </c>
      <c r="H22" s="14" t="s">
        <v>85</v>
      </c>
      <c r="I22" s="14" t="s">
        <v>220</v>
      </c>
      <c r="J22" s="14">
        <f>1+0.5+2</f>
        <v>3.5</v>
      </c>
      <c r="K22" s="14" t="s">
        <v>89</v>
      </c>
      <c r="L22" s="14">
        <v>1.0</v>
      </c>
      <c r="M22" s="13">
        <f t="shared" si="3"/>
        <v>5.5</v>
      </c>
      <c r="N22" s="14" t="s">
        <v>136</v>
      </c>
    </row>
    <row r="23" ht="37.5" customHeight="1">
      <c r="A23" s="13"/>
      <c r="B23" s="14" t="s">
        <v>236</v>
      </c>
      <c r="C23" s="14" t="s">
        <v>13</v>
      </c>
      <c r="D23" s="14">
        <f t="shared" si="1"/>
        <v>0</v>
      </c>
      <c r="E23" s="14" t="s">
        <v>89</v>
      </c>
      <c r="F23" s="14">
        <f t="shared" si="2"/>
        <v>1</v>
      </c>
      <c r="G23" s="14" t="s">
        <v>90</v>
      </c>
      <c r="H23" s="14" t="s">
        <v>75</v>
      </c>
      <c r="I23" s="14" t="s">
        <v>220</v>
      </c>
      <c r="J23" s="14">
        <f>1+2</f>
        <v>3</v>
      </c>
      <c r="K23" s="14" t="s">
        <v>89</v>
      </c>
      <c r="L23" s="14">
        <v>1.0</v>
      </c>
      <c r="M23" s="13">
        <f t="shared" si="3"/>
        <v>5</v>
      </c>
      <c r="N23" s="14" t="s">
        <v>136</v>
      </c>
    </row>
    <row r="24" ht="37.5" customHeight="1">
      <c r="A24" s="13"/>
      <c r="B24" s="14" t="s">
        <v>237</v>
      </c>
      <c r="C24" s="14" t="s">
        <v>13</v>
      </c>
      <c r="D24" s="14">
        <f t="shared" si="1"/>
        <v>0</v>
      </c>
      <c r="E24" s="14" t="s">
        <v>65</v>
      </c>
      <c r="F24" s="14">
        <f t="shared" si="2"/>
        <v>0</v>
      </c>
      <c r="G24" s="14" t="s">
        <v>67</v>
      </c>
      <c r="H24" s="14" t="s">
        <v>75</v>
      </c>
      <c r="I24" s="14" t="s">
        <v>238</v>
      </c>
      <c r="J24" s="13">
        <f>1+1+2</f>
        <v>4</v>
      </c>
      <c r="K24" s="14" t="s">
        <v>191</v>
      </c>
      <c r="L24" s="14">
        <v>1.0</v>
      </c>
      <c r="M24" s="13">
        <f t="shared" si="3"/>
        <v>5</v>
      </c>
      <c r="N24" s="14" t="s">
        <v>136</v>
      </c>
    </row>
    <row r="25" ht="37.5" customHeight="1">
      <c r="A25" s="13"/>
      <c r="B25" s="14" t="s">
        <v>239</v>
      </c>
      <c r="C25" s="14" t="s">
        <v>16</v>
      </c>
      <c r="D25" s="14">
        <f t="shared" si="1"/>
        <v>2</v>
      </c>
      <c r="E25" s="14" t="s">
        <v>89</v>
      </c>
      <c r="F25" s="14">
        <f t="shared" si="2"/>
        <v>1</v>
      </c>
      <c r="G25" s="14" t="s">
        <v>75</v>
      </c>
      <c r="H25" s="14" t="s">
        <v>199</v>
      </c>
      <c r="I25" s="14" t="s">
        <v>141</v>
      </c>
      <c r="J25" s="14">
        <f>0.5+1</f>
        <v>1.5</v>
      </c>
      <c r="K25" s="14" t="s">
        <v>89</v>
      </c>
      <c r="L25" s="14">
        <v>0.0</v>
      </c>
      <c r="M25" s="13">
        <f t="shared" si="3"/>
        <v>4.5</v>
      </c>
      <c r="N25" s="14" t="s">
        <v>136</v>
      </c>
    </row>
    <row r="26" ht="37.5" customHeight="1">
      <c r="A26" s="13"/>
      <c r="B26" s="14" t="s">
        <v>240</v>
      </c>
      <c r="C26" s="14" t="s">
        <v>16</v>
      </c>
      <c r="D26" s="14">
        <f t="shared" si="1"/>
        <v>2</v>
      </c>
      <c r="E26" s="14" t="s">
        <v>65</v>
      </c>
      <c r="F26" s="14">
        <f t="shared" si="2"/>
        <v>0</v>
      </c>
      <c r="G26" s="14" t="s">
        <v>158</v>
      </c>
      <c r="H26" s="14" t="s">
        <v>241</v>
      </c>
      <c r="I26" s="14" t="s">
        <v>226</v>
      </c>
      <c r="J26" s="13">
        <f>1+0.5+1</f>
        <v>2.5</v>
      </c>
      <c r="K26" s="14" t="s">
        <v>191</v>
      </c>
      <c r="L26" s="14">
        <v>0.0</v>
      </c>
      <c r="M26" s="13">
        <f t="shared" si="3"/>
        <v>4.5</v>
      </c>
      <c r="N26" s="14" t="s">
        <v>136</v>
      </c>
    </row>
    <row r="27" ht="37.5" customHeight="1">
      <c r="A27" s="13"/>
      <c r="B27" s="14" t="s">
        <v>242</v>
      </c>
      <c r="C27" s="14" t="s">
        <v>14</v>
      </c>
      <c r="D27" s="14">
        <f t="shared" si="1"/>
        <v>3</v>
      </c>
      <c r="E27" s="14" t="s">
        <v>94</v>
      </c>
      <c r="F27" s="14">
        <f t="shared" si="2"/>
        <v>0</v>
      </c>
      <c r="G27" s="14" t="s">
        <v>158</v>
      </c>
      <c r="H27" s="14" t="s">
        <v>75</v>
      </c>
      <c r="I27" s="14" t="s">
        <v>243</v>
      </c>
      <c r="J27" s="13">
        <f>1</f>
        <v>1</v>
      </c>
      <c r="K27" s="14" t="s">
        <v>191</v>
      </c>
      <c r="L27" s="14">
        <v>0.0</v>
      </c>
      <c r="M27" s="13">
        <f t="shared" si="3"/>
        <v>4</v>
      </c>
      <c r="N27" s="14" t="s">
        <v>136</v>
      </c>
    </row>
    <row r="28" ht="37.5" customHeight="1">
      <c r="A28" s="13"/>
      <c r="B28" s="14" t="s">
        <v>244</v>
      </c>
      <c r="C28" s="14" t="s">
        <v>13</v>
      </c>
      <c r="D28" s="14">
        <f t="shared" si="1"/>
        <v>0</v>
      </c>
      <c r="E28" s="14" t="s">
        <v>73</v>
      </c>
      <c r="F28" s="14">
        <f t="shared" si="2"/>
        <v>1</v>
      </c>
      <c r="G28" s="14" t="s">
        <v>224</v>
      </c>
      <c r="H28" s="14" t="s">
        <v>189</v>
      </c>
      <c r="I28" s="14" t="s">
        <v>141</v>
      </c>
      <c r="J28" s="13">
        <f>1+1+1</f>
        <v>3</v>
      </c>
      <c r="K28" s="14" t="s">
        <v>191</v>
      </c>
      <c r="L28" s="14">
        <v>0.0</v>
      </c>
      <c r="M28" s="13">
        <f t="shared" si="3"/>
        <v>4</v>
      </c>
      <c r="N28" s="14" t="s">
        <v>136</v>
      </c>
    </row>
    <row r="29" ht="37.5" customHeight="1">
      <c r="A29" s="13"/>
      <c r="B29" s="14" t="s">
        <v>245</v>
      </c>
      <c r="C29" s="14" t="s">
        <v>14</v>
      </c>
      <c r="D29" s="14">
        <f t="shared" si="1"/>
        <v>3</v>
      </c>
      <c r="E29" s="14" t="s">
        <v>73</v>
      </c>
      <c r="F29" s="14">
        <f t="shared" si="2"/>
        <v>1</v>
      </c>
      <c r="G29" s="14" t="s">
        <v>90</v>
      </c>
      <c r="H29" s="14" t="s">
        <v>75</v>
      </c>
      <c r="I29" s="14" t="s">
        <v>75</v>
      </c>
      <c r="J29" s="13">
        <f>1-1</f>
        <v>0</v>
      </c>
      <c r="K29" s="14" t="s">
        <v>191</v>
      </c>
      <c r="L29" s="14">
        <v>0.0</v>
      </c>
      <c r="M29" s="13">
        <f t="shared" si="3"/>
        <v>4</v>
      </c>
      <c r="N29" s="14" t="s">
        <v>136</v>
      </c>
    </row>
    <row r="30" ht="37.5" customHeight="1">
      <c r="A30" s="13"/>
      <c r="B30" s="14" t="s">
        <v>246</v>
      </c>
      <c r="C30" s="14" t="s">
        <v>13</v>
      </c>
      <c r="D30" s="14">
        <f t="shared" si="1"/>
        <v>0</v>
      </c>
      <c r="E30" s="14" t="s">
        <v>73</v>
      </c>
      <c r="F30" s="14">
        <f t="shared" si="2"/>
        <v>1</v>
      </c>
      <c r="G30" s="14" t="s">
        <v>90</v>
      </c>
      <c r="H30" s="14" t="s">
        <v>85</v>
      </c>
      <c r="I30" s="14" t="s">
        <v>247</v>
      </c>
      <c r="J30" s="14">
        <f>1+0.5+1</f>
        <v>2.5</v>
      </c>
      <c r="K30" s="14" t="s">
        <v>191</v>
      </c>
      <c r="L30" s="14">
        <v>0.0</v>
      </c>
      <c r="M30" s="13">
        <f t="shared" si="3"/>
        <v>3.5</v>
      </c>
      <c r="N30" s="14" t="s">
        <v>136</v>
      </c>
    </row>
    <row r="31" ht="37.5" customHeight="1">
      <c r="A31" s="13"/>
      <c r="B31" s="14" t="s">
        <v>248</v>
      </c>
      <c r="C31" s="14" t="s">
        <v>13</v>
      </c>
      <c r="D31" s="14">
        <f t="shared" si="1"/>
        <v>0</v>
      </c>
      <c r="E31" s="14" t="s">
        <v>157</v>
      </c>
      <c r="F31" s="14">
        <f t="shared" si="2"/>
        <v>0</v>
      </c>
      <c r="G31" s="14" t="s">
        <v>75</v>
      </c>
      <c r="H31" s="14" t="s">
        <v>196</v>
      </c>
      <c r="I31" s="14" t="s">
        <v>249</v>
      </c>
      <c r="J31" s="14">
        <f t="shared" ref="J31:J32" si="5">0.5+2</f>
        <v>2.5</v>
      </c>
      <c r="K31" s="14" t="s">
        <v>89</v>
      </c>
      <c r="L31" s="14">
        <v>1.0</v>
      </c>
      <c r="M31" s="13">
        <f t="shared" si="3"/>
        <v>3.5</v>
      </c>
      <c r="N31" s="14" t="s">
        <v>136</v>
      </c>
    </row>
    <row r="32" ht="37.5" customHeight="1">
      <c r="A32" s="13"/>
      <c r="B32" s="14" t="s">
        <v>250</v>
      </c>
      <c r="C32" s="14" t="s">
        <v>13</v>
      </c>
      <c r="D32" s="14">
        <f t="shared" si="1"/>
        <v>0</v>
      </c>
      <c r="E32" s="14" t="s">
        <v>157</v>
      </c>
      <c r="F32" s="14">
        <f t="shared" si="2"/>
        <v>0</v>
      </c>
      <c r="G32" s="14" t="s">
        <v>75</v>
      </c>
      <c r="H32" s="14" t="s">
        <v>196</v>
      </c>
      <c r="I32" s="14" t="s">
        <v>194</v>
      </c>
      <c r="J32" s="14">
        <f t="shared" si="5"/>
        <v>2.5</v>
      </c>
      <c r="K32" s="14" t="s">
        <v>89</v>
      </c>
      <c r="L32" s="14">
        <v>1.0</v>
      </c>
      <c r="M32" s="13">
        <f t="shared" si="3"/>
        <v>3.5</v>
      </c>
      <c r="N32" s="14" t="s">
        <v>136</v>
      </c>
    </row>
    <row r="33" ht="37.5" customHeight="1">
      <c r="A33" s="13"/>
      <c r="B33" s="14" t="s">
        <v>251</v>
      </c>
      <c r="C33" s="14" t="s">
        <v>14</v>
      </c>
      <c r="D33" s="14">
        <f t="shared" si="1"/>
        <v>3</v>
      </c>
      <c r="E33" s="14" t="s">
        <v>65</v>
      </c>
      <c r="F33" s="14">
        <f t="shared" si="2"/>
        <v>0</v>
      </c>
      <c r="G33" s="14" t="s">
        <v>90</v>
      </c>
      <c r="H33" s="14" t="s">
        <v>75</v>
      </c>
      <c r="I33" s="14" t="s">
        <v>75</v>
      </c>
      <c r="J33" s="14">
        <f>1-1</f>
        <v>0</v>
      </c>
      <c r="K33" s="14" t="s">
        <v>191</v>
      </c>
      <c r="L33" s="14">
        <v>0.0</v>
      </c>
      <c r="M33" s="13">
        <f t="shared" si="3"/>
        <v>3</v>
      </c>
      <c r="N33" s="14" t="s">
        <v>167</v>
      </c>
    </row>
    <row r="34" ht="37.5" customHeight="1">
      <c r="A34" s="13"/>
      <c r="B34" s="14" t="s">
        <v>252</v>
      </c>
      <c r="C34" s="14" t="s">
        <v>14</v>
      </c>
      <c r="D34" s="14">
        <f t="shared" si="1"/>
        <v>3</v>
      </c>
      <c r="E34" s="14" t="s">
        <v>73</v>
      </c>
      <c r="F34" s="14">
        <f t="shared" si="2"/>
        <v>1</v>
      </c>
      <c r="G34" s="14" t="s">
        <v>75</v>
      </c>
      <c r="H34" s="14" t="s">
        <v>75</v>
      </c>
      <c r="I34" s="14" t="s">
        <v>75</v>
      </c>
      <c r="J34" s="13">
        <f>-1</f>
        <v>-1</v>
      </c>
      <c r="K34" s="14" t="s">
        <v>191</v>
      </c>
      <c r="L34" s="14">
        <v>0.0</v>
      </c>
      <c r="M34" s="13">
        <f t="shared" si="3"/>
        <v>3</v>
      </c>
      <c r="N34" s="14" t="s">
        <v>167</v>
      </c>
    </row>
    <row r="35" ht="37.5" customHeight="1">
      <c r="A35" s="13"/>
      <c r="B35" s="14" t="s">
        <v>253</v>
      </c>
      <c r="C35" s="14" t="s">
        <v>13</v>
      </c>
      <c r="D35" s="14">
        <f t="shared" si="1"/>
        <v>0</v>
      </c>
      <c r="E35" s="14" t="s">
        <v>65</v>
      </c>
      <c r="F35" s="14">
        <f t="shared" si="2"/>
        <v>0</v>
      </c>
      <c r="G35" s="14" t="s">
        <v>158</v>
      </c>
      <c r="H35" s="14" t="s">
        <v>75</v>
      </c>
      <c r="I35" s="14" t="s">
        <v>141</v>
      </c>
      <c r="J35" s="14">
        <f>1+1</f>
        <v>2</v>
      </c>
      <c r="K35" s="14" t="s">
        <v>191</v>
      </c>
      <c r="L35" s="14">
        <v>0.0</v>
      </c>
      <c r="M35" s="13">
        <f t="shared" si="3"/>
        <v>2</v>
      </c>
      <c r="N35" s="14" t="s">
        <v>167</v>
      </c>
    </row>
    <row r="36" ht="37.5" customHeight="1">
      <c r="A36" s="13"/>
      <c r="B36" s="14" t="s">
        <v>254</v>
      </c>
      <c r="C36" s="14" t="s">
        <v>13</v>
      </c>
      <c r="D36" s="14">
        <f t="shared" si="1"/>
        <v>0</v>
      </c>
      <c r="E36" s="14" t="s">
        <v>73</v>
      </c>
      <c r="F36" s="14">
        <f t="shared" si="2"/>
        <v>1</v>
      </c>
      <c r="G36" s="14" t="s">
        <v>146</v>
      </c>
      <c r="H36" s="14" t="s">
        <v>75</v>
      </c>
      <c r="I36" s="14" t="s">
        <v>75</v>
      </c>
      <c r="J36" s="14">
        <f>2-1</f>
        <v>1</v>
      </c>
      <c r="K36" s="14" t="s">
        <v>191</v>
      </c>
      <c r="L36" s="14">
        <v>0.0</v>
      </c>
      <c r="M36" s="13">
        <f t="shared" si="3"/>
        <v>2</v>
      </c>
      <c r="N36" s="14" t="s">
        <v>167</v>
      </c>
    </row>
    <row r="37" ht="37.5" customHeight="1">
      <c r="A37" s="13"/>
      <c r="B37" s="14" t="s">
        <v>255</v>
      </c>
      <c r="C37" s="14" t="s">
        <v>13</v>
      </c>
      <c r="D37" s="14">
        <f t="shared" si="1"/>
        <v>0</v>
      </c>
      <c r="E37" s="14" t="s">
        <v>89</v>
      </c>
      <c r="F37" s="14">
        <f t="shared" si="2"/>
        <v>1</v>
      </c>
      <c r="G37" s="14" t="s">
        <v>75</v>
      </c>
      <c r="H37" s="14" t="s">
        <v>75</v>
      </c>
      <c r="I37" s="14" t="s">
        <v>256</v>
      </c>
      <c r="J37" s="14">
        <f>1</f>
        <v>1</v>
      </c>
      <c r="K37" s="14" t="s">
        <v>89</v>
      </c>
      <c r="L37" s="14">
        <v>0.0</v>
      </c>
      <c r="M37" s="13">
        <f t="shared" si="3"/>
        <v>2</v>
      </c>
      <c r="N37" s="14" t="s">
        <v>167</v>
      </c>
    </row>
    <row r="38" ht="37.5" customHeight="1">
      <c r="A38" s="13"/>
      <c r="B38" s="14" t="s">
        <v>257</v>
      </c>
      <c r="C38" s="14" t="s">
        <v>13</v>
      </c>
      <c r="D38" s="14">
        <f t="shared" si="1"/>
        <v>0</v>
      </c>
      <c r="E38" s="14" t="s">
        <v>65</v>
      </c>
      <c r="F38" s="14">
        <f t="shared" si="2"/>
        <v>0</v>
      </c>
      <c r="G38" s="14" t="s">
        <v>75</v>
      </c>
      <c r="H38" s="14" t="s">
        <v>258</v>
      </c>
      <c r="I38" s="14" t="s">
        <v>211</v>
      </c>
      <c r="J38" s="13">
        <f>0.5+0.5+1</f>
        <v>2</v>
      </c>
      <c r="K38" s="14" t="s">
        <v>191</v>
      </c>
      <c r="L38" s="14">
        <v>0.0</v>
      </c>
      <c r="M38" s="13">
        <f t="shared" si="3"/>
        <v>2</v>
      </c>
      <c r="N38" s="14" t="s">
        <v>167</v>
      </c>
    </row>
    <row r="39" ht="37.5" customHeight="1">
      <c r="A39" s="13"/>
      <c r="B39" s="14" t="s">
        <v>259</v>
      </c>
      <c r="C39" s="14" t="s">
        <v>13</v>
      </c>
      <c r="D39" s="14">
        <f t="shared" si="1"/>
        <v>0</v>
      </c>
      <c r="E39" s="14" t="s">
        <v>89</v>
      </c>
      <c r="F39" s="14">
        <f t="shared" si="2"/>
        <v>1</v>
      </c>
      <c r="G39" s="14" t="s">
        <v>202</v>
      </c>
      <c r="H39" s="14" t="s">
        <v>75</v>
      </c>
      <c r="I39" s="14" t="s">
        <v>75</v>
      </c>
      <c r="J39" s="14">
        <f>1+1-1</f>
        <v>1</v>
      </c>
      <c r="K39" s="14" t="s">
        <v>89</v>
      </c>
      <c r="L39" s="14">
        <v>0.0</v>
      </c>
      <c r="M39" s="13">
        <f t="shared" si="3"/>
        <v>2</v>
      </c>
      <c r="N39" s="14" t="s">
        <v>167</v>
      </c>
    </row>
    <row r="40" ht="37.5" customHeight="1">
      <c r="A40" s="13"/>
      <c r="B40" s="14" t="s">
        <v>260</v>
      </c>
      <c r="C40" s="14" t="s">
        <v>13</v>
      </c>
      <c r="D40" s="14">
        <f t="shared" si="1"/>
        <v>0</v>
      </c>
      <c r="E40" s="14" t="s">
        <v>65</v>
      </c>
      <c r="F40" s="14">
        <f t="shared" si="2"/>
        <v>0</v>
      </c>
      <c r="G40" s="14" t="s">
        <v>75</v>
      </c>
      <c r="H40" s="14" t="s">
        <v>75</v>
      </c>
      <c r="I40" s="14" t="s">
        <v>141</v>
      </c>
      <c r="J40" s="13">
        <f>1</f>
        <v>1</v>
      </c>
      <c r="K40" s="14" t="s">
        <v>191</v>
      </c>
      <c r="L40" s="14">
        <v>0.0</v>
      </c>
      <c r="M40" s="13">
        <f t="shared" si="3"/>
        <v>1</v>
      </c>
      <c r="N40" s="14" t="s">
        <v>167</v>
      </c>
    </row>
    <row r="41" ht="37.5" customHeight="1">
      <c r="A41" s="13"/>
      <c r="B41" s="14" t="s">
        <v>261</v>
      </c>
      <c r="C41" s="14" t="s">
        <v>13</v>
      </c>
      <c r="D41" s="14">
        <f t="shared" si="1"/>
        <v>0</v>
      </c>
      <c r="E41" s="14" t="s">
        <v>94</v>
      </c>
      <c r="F41" s="14">
        <f t="shared" si="2"/>
        <v>0</v>
      </c>
      <c r="G41" s="14" t="s">
        <v>158</v>
      </c>
      <c r="H41" s="14" t="s">
        <v>75</v>
      </c>
      <c r="I41" s="14" t="s">
        <v>75</v>
      </c>
      <c r="J41" s="14">
        <f>1-1</f>
        <v>0</v>
      </c>
      <c r="K41" s="14" t="s">
        <v>191</v>
      </c>
      <c r="L41" s="14">
        <v>0.0</v>
      </c>
      <c r="M41" s="13">
        <f t="shared" si="3"/>
        <v>0</v>
      </c>
      <c r="N41" s="14" t="s">
        <v>167</v>
      </c>
    </row>
  </sheetData>
  <autoFilter ref="$A$2:$N$41">
    <sortState ref="A2:N41">
      <sortCondition descending="1" ref="M2:M41"/>
      <sortCondition ref="B2:B41"/>
      <sortCondition descending="1" ref="L2:L41"/>
      <sortCondition descending="1" ref="N2:N41"/>
    </sortState>
  </autoFilter>
  <mergeCells count="6">
    <mergeCell ref="A1:B1"/>
    <mergeCell ref="C1:D1"/>
    <mergeCell ref="E1:F1"/>
    <mergeCell ref="G1:J1"/>
    <mergeCell ref="K1:L1"/>
    <mergeCell ref="M1:N1"/>
  </mergeCells>
  <conditionalFormatting sqref="M3:N41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8.25"/>
    <col customWidth="1" min="6" max="6" width="8.13"/>
    <col customWidth="1" min="7" max="7" width="18.88"/>
    <col customWidth="1" min="8" max="8" width="20.75"/>
    <col customWidth="1" min="9" max="9" width="18.88"/>
    <col customWidth="1" min="10" max="10" width="23.13"/>
    <col customWidth="1" min="11" max="11" width="8.13"/>
    <col customWidth="1" min="12" max="12" width="12.25"/>
    <col customWidth="1" min="13" max="13" width="8.13"/>
    <col customWidth="1" min="14" max="14" width="7.5"/>
    <col customWidth="1" min="15" max="15" width="6.63"/>
  </cols>
  <sheetData>
    <row r="1" ht="15.0" customHeight="1">
      <c r="A1" s="5" t="s">
        <v>47</v>
      </c>
      <c r="C1" s="6" t="s">
        <v>48</v>
      </c>
      <c r="E1" s="7" t="s">
        <v>49</v>
      </c>
      <c r="G1" s="8" t="s">
        <v>181</v>
      </c>
      <c r="L1" s="9" t="s">
        <v>51</v>
      </c>
      <c r="N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56</v>
      </c>
      <c r="G2" s="11" t="s">
        <v>0</v>
      </c>
      <c r="H2" s="11" t="s">
        <v>59</v>
      </c>
      <c r="I2" s="11" t="s">
        <v>262</v>
      </c>
      <c r="J2" s="11" t="s">
        <v>60</v>
      </c>
      <c r="K2" s="11" t="s">
        <v>56</v>
      </c>
      <c r="L2" s="11" t="s">
        <v>61</v>
      </c>
      <c r="M2" s="11" t="s">
        <v>56</v>
      </c>
      <c r="N2" s="12" t="s">
        <v>62</v>
      </c>
      <c r="O2" s="12" t="s">
        <v>63</v>
      </c>
    </row>
    <row r="3" ht="37.5" customHeight="1">
      <c r="A3" s="13"/>
      <c r="B3" s="14" t="s">
        <v>263</v>
      </c>
      <c r="C3" s="14" t="s">
        <v>264</v>
      </c>
      <c r="D3" s="14">
        <f t="shared" ref="D3:D4" si="1">IFS(OR(C3="Precision",C3="Aggressive"),0,C3="Adaptive",0.5,OR(C3="Rapid",C3="High-Impact"),1)</f>
        <v>1</v>
      </c>
      <c r="E3" s="14" t="s">
        <v>73</v>
      </c>
      <c r="F3" s="14">
        <f t="shared" ref="F3:F31" si="2">IF(E3="Solar",0.5,0)</f>
        <v>0.5</v>
      </c>
      <c r="G3" s="14" t="s">
        <v>90</v>
      </c>
      <c r="H3" s="14" t="s">
        <v>199</v>
      </c>
      <c r="I3" s="14" t="s">
        <v>75</v>
      </c>
      <c r="J3" s="14" t="s">
        <v>265</v>
      </c>
      <c r="K3" s="14">
        <f>0.5+2+2+1.5</f>
        <v>6</v>
      </c>
      <c r="L3" s="14" t="s">
        <v>266</v>
      </c>
      <c r="M3" s="14">
        <v>2.0</v>
      </c>
      <c r="N3" s="13">
        <f t="shared" ref="N3:N31" si="3">SUM(D3:M3)</f>
        <v>9.5</v>
      </c>
      <c r="O3" s="14" t="s">
        <v>71</v>
      </c>
    </row>
    <row r="4" ht="37.5" customHeight="1">
      <c r="A4" s="13"/>
      <c r="B4" s="14" t="s">
        <v>267</v>
      </c>
      <c r="C4" s="14" t="s">
        <v>264</v>
      </c>
      <c r="D4" s="14">
        <f t="shared" si="1"/>
        <v>1</v>
      </c>
      <c r="E4" s="14" t="s">
        <v>65</v>
      </c>
      <c r="F4" s="14">
        <f t="shared" si="2"/>
        <v>0</v>
      </c>
      <c r="G4" s="14" t="s">
        <v>75</v>
      </c>
      <c r="H4" s="14" t="s">
        <v>268</v>
      </c>
      <c r="I4" s="14" t="s">
        <v>269</v>
      </c>
      <c r="J4" s="14" t="s">
        <v>270</v>
      </c>
      <c r="K4" s="14">
        <f>2+0.5+2+1.5</f>
        <v>6</v>
      </c>
      <c r="L4" s="14" t="s">
        <v>266</v>
      </c>
      <c r="M4" s="14">
        <v>2.0</v>
      </c>
      <c r="N4" s="13">
        <f t="shared" si="3"/>
        <v>9</v>
      </c>
      <c r="O4" s="14" t="s">
        <v>71</v>
      </c>
    </row>
    <row r="5" ht="37.5" customHeight="1">
      <c r="A5" s="13"/>
      <c r="B5" s="14" t="s">
        <v>271</v>
      </c>
      <c r="C5" s="14" t="s">
        <v>14</v>
      </c>
      <c r="D5" s="14">
        <f>IFS(OR(C5="Precision",C5="Aggressive"),0,C5="Adaptive",0.5,OR(C5="Rapid",C5="High-Impact"),1)+0.5</f>
        <v>1.5</v>
      </c>
      <c r="E5" s="14" t="s">
        <v>157</v>
      </c>
      <c r="F5" s="14">
        <f t="shared" si="2"/>
        <v>0</v>
      </c>
      <c r="G5" s="14" t="s">
        <v>80</v>
      </c>
      <c r="H5" s="14" t="s">
        <v>85</v>
      </c>
      <c r="I5" s="14" t="s">
        <v>272</v>
      </c>
      <c r="J5" s="14" t="s">
        <v>273</v>
      </c>
      <c r="K5" s="14">
        <f>0.5+0.5+1+1+0.5+1</f>
        <v>4.5</v>
      </c>
      <c r="L5" s="14" t="s">
        <v>274</v>
      </c>
      <c r="M5" s="14">
        <v>2.0</v>
      </c>
      <c r="N5" s="13">
        <f t="shared" si="3"/>
        <v>8</v>
      </c>
      <c r="O5" s="14" t="s">
        <v>71</v>
      </c>
    </row>
    <row r="6" ht="37.5" customHeight="1">
      <c r="A6" s="13"/>
      <c r="B6" s="14" t="s">
        <v>275</v>
      </c>
      <c r="C6" s="14" t="s">
        <v>264</v>
      </c>
      <c r="D6" s="14">
        <f t="shared" ref="D6:D12" si="4">IFS(OR(C6="Precision",C6="Aggressive"),0,C6="Adaptive",0.5,OR(C6="Rapid",C6="High-Impact"),1)</f>
        <v>1</v>
      </c>
      <c r="E6" s="14" t="s">
        <v>83</v>
      </c>
      <c r="F6" s="14">
        <f t="shared" si="2"/>
        <v>0</v>
      </c>
      <c r="G6" s="14" t="s">
        <v>90</v>
      </c>
      <c r="H6" s="14" t="s">
        <v>199</v>
      </c>
      <c r="I6" s="14" t="s">
        <v>75</v>
      </c>
      <c r="J6" s="14" t="s">
        <v>276</v>
      </c>
      <c r="K6" s="13">
        <f>0.5+2+2</f>
        <v>4.5</v>
      </c>
      <c r="L6" s="14" t="s">
        <v>277</v>
      </c>
      <c r="M6" s="14">
        <v>2.0</v>
      </c>
      <c r="N6" s="13">
        <f t="shared" si="3"/>
        <v>7.5</v>
      </c>
      <c r="O6" s="14" t="s">
        <v>92</v>
      </c>
    </row>
    <row r="7" ht="37.5" customHeight="1">
      <c r="A7" s="13"/>
      <c r="B7" s="14" t="s">
        <v>278</v>
      </c>
      <c r="C7" s="14" t="s">
        <v>264</v>
      </c>
      <c r="D7" s="14">
        <f t="shared" si="4"/>
        <v>1</v>
      </c>
      <c r="E7" s="14" t="s">
        <v>65</v>
      </c>
      <c r="F7" s="14">
        <f t="shared" si="2"/>
        <v>0</v>
      </c>
      <c r="G7" s="14" t="s">
        <v>125</v>
      </c>
      <c r="H7" s="14" t="s">
        <v>279</v>
      </c>
      <c r="I7" s="14" t="s">
        <v>75</v>
      </c>
      <c r="J7" s="14" t="s">
        <v>280</v>
      </c>
      <c r="K7" s="13">
        <f>0.5+0.5+0.5+0.5+1+1.5</f>
        <v>4.5</v>
      </c>
      <c r="L7" s="14" t="s">
        <v>266</v>
      </c>
      <c r="M7" s="14">
        <v>1.0</v>
      </c>
      <c r="N7" s="13">
        <f t="shared" si="3"/>
        <v>6.5</v>
      </c>
      <c r="O7" s="14" t="s">
        <v>92</v>
      </c>
    </row>
    <row r="8" ht="37.5" customHeight="1">
      <c r="A8" s="13"/>
      <c r="B8" s="14" t="s">
        <v>281</v>
      </c>
      <c r="C8" s="14" t="s">
        <v>13</v>
      </c>
      <c r="D8" s="14">
        <f t="shared" si="4"/>
        <v>0.5</v>
      </c>
      <c r="E8" s="14" t="s">
        <v>65</v>
      </c>
      <c r="F8" s="14">
        <f t="shared" si="2"/>
        <v>0</v>
      </c>
      <c r="G8" s="14" t="s">
        <v>75</v>
      </c>
      <c r="H8" s="14" t="s">
        <v>282</v>
      </c>
      <c r="I8" s="14" t="s">
        <v>75</v>
      </c>
      <c r="J8" s="14" t="s">
        <v>283</v>
      </c>
      <c r="K8" s="14">
        <f>2+2</f>
        <v>4</v>
      </c>
      <c r="L8" s="14" t="s">
        <v>284</v>
      </c>
      <c r="M8" s="14">
        <v>2.0</v>
      </c>
      <c r="N8" s="13">
        <f t="shared" si="3"/>
        <v>6.5</v>
      </c>
      <c r="O8" s="14" t="s">
        <v>92</v>
      </c>
    </row>
    <row r="9" ht="37.5" customHeight="1">
      <c r="A9" s="13"/>
      <c r="B9" s="14" t="s">
        <v>285</v>
      </c>
      <c r="C9" s="14" t="s">
        <v>13</v>
      </c>
      <c r="D9" s="14">
        <f t="shared" si="4"/>
        <v>0.5</v>
      </c>
      <c r="E9" s="14" t="s">
        <v>73</v>
      </c>
      <c r="F9" s="14">
        <f t="shared" si="2"/>
        <v>0.5</v>
      </c>
      <c r="G9" s="14" t="s">
        <v>90</v>
      </c>
      <c r="H9" s="14" t="s">
        <v>199</v>
      </c>
      <c r="I9" s="14" t="s">
        <v>75</v>
      </c>
      <c r="J9" s="14" t="s">
        <v>286</v>
      </c>
      <c r="K9" s="13">
        <f>0.5+2+1.5</f>
        <v>4</v>
      </c>
      <c r="L9" s="14" t="s">
        <v>266</v>
      </c>
      <c r="M9" s="14">
        <v>1.0</v>
      </c>
      <c r="N9" s="13">
        <f t="shared" si="3"/>
        <v>6</v>
      </c>
      <c r="O9" s="14" t="s">
        <v>92</v>
      </c>
    </row>
    <row r="10" ht="37.5" customHeight="1">
      <c r="A10" s="13"/>
      <c r="B10" s="14" t="s">
        <v>287</v>
      </c>
      <c r="C10" s="14" t="s">
        <v>14</v>
      </c>
      <c r="D10" s="14">
        <f t="shared" si="4"/>
        <v>1</v>
      </c>
      <c r="E10" s="14" t="s">
        <v>73</v>
      </c>
      <c r="F10" s="14">
        <f t="shared" si="2"/>
        <v>0.5</v>
      </c>
      <c r="G10" s="14" t="s">
        <v>90</v>
      </c>
      <c r="H10" s="14" t="s">
        <v>288</v>
      </c>
      <c r="I10" s="14" t="s">
        <v>75</v>
      </c>
      <c r="J10" s="14" t="s">
        <v>289</v>
      </c>
      <c r="K10" s="14">
        <f>0.5+0.5+1</f>
        <v>2</v>
      </c>
      <c r="L10" s="14" t="s">
        <v>284</v>
      </c>
      <c r="M10" s="14">
        <v>2.0</v>
      </c>
      <c r="N10" s="13">
        <f t="shared" si="3"/>
        <v>5.5</v>
      </c>
      <c r="O10" s="14" t="s">
        <v>92</v>
      </c>
    </row>
    <row r="11" ht="37.5" customHeight="1">
      <c r="A11" s="13"/>
      <c r="B11" s="14" t="s">
        <v>290</v>
      </c>
      <c r="C11" s="14" t="s">
        <v>13</v>
      </c>
      <c r="D11" s="14">
        <f t="shared" si="4"/>
        <v>0.5</v>
      </c>
      <c r="E11" s="14" t="s">
        <v>73</v>
      </c>
      <c r="F11" s="14">
        <f t="shared" si="2"/>
        <v>0.5</v>
      </c>
      <c r="G11" s="14" t="s">
        <v>90</v>
      </c>
      <c r="H11" s="14" t="s">
        <v>288</v>
      </c>
      <c r="I11" s="14" t="s">
        <v>75</v>
      </c>
      <c r="J11" s="14" t="s">
        <v>291</v>
      </c>
      <c r="K11" s="14">
        <f>0.5+0.5+1+0.5+0.5</f>
        <v>3</v>
      </c>
      <c r="L11" s="14" t="s">
        <v>284</v>
      </c>
      <c r="M11" s="14">
        <v>1.0</v>
      </c>
      <c r="N11" s="13">
        <f t="shared" si="3"/>
        <v>5</v>
      </c>
      <c r="O11" s="14" t="s">
        <v>120</v>
      </c>
    </row>
    <row r="12" ht="37.5" customHeight="1">
      <c r="A12" s="13"/>
      <c r="B12" s="14" t="s">
        <v>292</v>
      </c>
      <c r="C12" s="14" t="s">
        <v>264</v>
      </c>
      <c r="D12" s="14">
        <f t="shared" si="4"/>
        <v>1</v>
      </c>
      <c r="E12" s="14" t="s">
        <v>94</v>
      </c>
      <c r="F12" s="14">
        <f t="shared" si="2"/>
        <v>0</v>
      </c>
      <c r="G12" s="14" t="s">
        <v>75</v>
      </c>
      <c r="H12" s="14" t="s">
        <v>293</v>
      </c>
      <c r="I12" s="14" t="s">
        <v>75</v>
      </c>
      <c r="J12" s="14" t="s">
        <v>294</v>
      </c>
      <c r="K12" s="13">
        <f>0.5+1.5+0.5</f>
        <v>2.5</v>
      </c>
      <c r="L12" s="14" t="s">
        <v>266</v>
      </c>
      <c r="M12" s="14">
        <v>1.0</v>
      </c>
      <c r="N12" s="13">
        <f t="shared" si="3"/>
        <v>4.5</v>
      </c>
      <c r="O12" s="14" t="s">
        <v>120</v>
      </c>
    </row>
    <row r="13" ht="37.5" customHeight="1">
      <c r="A13" s="13"/>
      <c r="B13" s="14" t="s">
        <v>295</v>
      </c>
      <c r="C13" s="14" t="s">
        <v>14</v>
      </c>
      <c r="D13" s="14">
        <f>IFS(OR(C13="Precision",C13="Aggressive"),0,C13="Adaptive",0.5,OR(C13="Rapid",C13="High-Impact"),1)+0.5</f>
        <v>1.5</v>
      </c>
      <c r="E13" s="14" t="s">
        <v>94</v>
      </c>
      <c r="F13" s="14">
        <f t="shared" si="2"/>
        <v>0</v>
      </c>
      <c r="G13" s="14" t="s">
        <v>75</v>
      </c>
      <c r="H13" s="14" t="s">
        <v>75</v>
      </c>
      <c r="I13" s="14" t="s">
        <v>75</v>
      </c>
      <c r="J13" s="14" t="s">
        <v>294</v>
      </c>
      <c r="K13" s="13">
        <f>1.5+0.5</f>
        <v>2</v>
      </c>
      <c r="L13" s="14" t="s">
        <v>70</v>
      </c>
      <c r="M13" s="14">
        <v>1.0</v>
      </c>
      <c r="N13" s="13">
        <f t="shared" si="3"/>
        <v>4.5</v>
      </c>
      <c r="O13" s="14" t="s">
        <v>120</v>
      </c>
    </row>
    <row r="14" ht="37.5" customHeight="1">
      <c r="A14" s="13"/>
      <c r="B14" s="14" t="s">
        <v>296</v>
      </c>
      <c r="C14" s="14" t="s">
        <v>13</v>
      </c>
      <c r="D14" s="14">
        <f t="shared" ref="D14:D16" si="5">IFS(OR(C14="Precision",C14="Aggressive"),0,C14="Adaptive",0.5,OR(C14="Rapid",C14="High-Impact"),1)</f>
        <v>0.5</v>
      </c>
      <c r="E14" s="14" t="s">
        <v>83</v>
      </c>
      <c r="F14" s="14">
        <f t="shared" si="2"/>
        <v>0</v>
      </c>
      <c r="G14" s="14" t="s">
        <v>297</v>
      </c>
      <c r="H14" s="14" t="s">
        <v>85</v>
      </c>
      <c r="I14" s="14" t="s">
        <v>75</v>
      </c>
      <c r="J14" s="14" t="s">
        <v>298</v>
      </c>
      <c r="K14" s="13">
        <f>0.5+1+1+0.5</f>
        <v>3</v>
      </c>
      <c r="L14" s="14" t="s">
        <v>274</v>
      </c>
      <c r="M14" s="14">
        <v>1.0</v>
      </c>
      <c r="N14" s="13">
        <f t="shared" si="3"/>
        <v>4.5</v>
      </c>
      <c r="O14" s="14" t="s">
        <v>120</v>
      </c>
    </row>
    <row r="15" ht="37.5" customHeight="1">
      <c r="A15" s="13"/>
      <c r="B15" s="14" t="s">
        <v>299</v>
      </c>
      <c r="C15" s="14" t="s">
        <v>17</v>
      </c>
      <c r="D15" s="14">
        <f t="shared" si="5"/>
        <v>0</v>
      </c>
      <c r="E15" s="14" t="s">
        <v>157</v>
      </c>
      <c r="F15" s="14">
        <f t="shared" si="2"/>
        <v>0</v>
      </c>
      <c r="G15" s="14" t="s">
        <v>75</v>
      </c>
      <c r="H15" s="14" t="s">
        <v>75</v>
      </c>
      <c r="I15" s="14" t="s">
        <v>300</v>
      </c>
      <c r="J15" s="14" t="s">
        <v>301</v>
      </c>
      <c r="K15" s="13">
        <f>0.5+0.5+0.5+0.5+1</f>
        <v>3</v>
      </c>
      <c r="L15" s="14" t="s">
        <v>302</v>
      </c>
      <c r="M15" s="14">
        <v>1.0</v>
      </c>
      <c r="N15" s="13">
        <f t="shared" si="3"/>
        <v>4</v>
      </c>
      <c r="O15" s="14" t="s">
        <v>120</v>
      </c>
    </row>
    <row r="16" ht="37.5" customHeight="1">
      <c r="A16" s="13"/>
      <c r="B16" s="14" t="s">
        <v>303</v>
      </c>
      <c r="C16" s="14" t="s">
        <v>264</v>
      </c>
      <c r="D16" s="14">
        <f t="shared" si="5"/>
        <v>1</v>
      </c>
      <c r="E16" s="14" t="s">
        <v>73</v>
      </c>
      <c r="F16" s="14">
        <f t="shared" si="2"/>
        <v>0.5</v>
      </c>
      <c r="G16" s="14" t="s">
        <v>90</v>
      </c>
      <c r="H16" s="14" t="s">
        <v>75</v>
      </c>
      <c r="I16" s="14" t="s">
        <v>75</v>
      </c>
      <c r="J16" s="14" t="s">
        <v>304</v>
      </c>
      <c r="K16" s="14">
        <f>0.5+1</f>
        <v>1.5</v>
      </c>
      <c r="L16" s="14" t="s">
        <v>284</v>
      </c>
      <c r="M16" s="14">
        <v>1.0</v>
      </c>
      <c r="N16" s="13">
        <f t="shared" si="3"/>
        <v>4</v>
      </c>
      <c r="O16" s="14" t="s">
        <v>120</v>
      </c>
    </row>
    <row r="17" ht="37.5" customHeight="1">
      <c r="A17" s="13"/>
      <c r="B17" s="14" t="s">
        <v>305</v>
      </c>
      <c r="C17" s="14" t="s">
        <v>14</v>
      </c>
      <c r="D17" s="14">
        <f>IFS(OR(C17="Precision",C17="Aggressive"),0,C17="Adaptive",0.5,OR(C17="Rapid",C17="High-Impact"),1)+0.5</f>
        <v>1.5</v>
      </c>
      <c r="E17" s="14" t="s">
        <v>65</v>
      </c>
      <c r="F17" s="14">
        <f t="shared" si="2"/>
        <v>0</v>
      </c>
      <c r="G17" s="14" t="s">
        <v>90</v>
      </c>
      <c r="H17" s="14" t="s">
        <v>75</v>
      </c>
      <c r="I17" s="14" t="s">
        <v>306</v>
      </c>
      <c r="J17" s="14" t="s">
        <v>307</v>
      </c>
      <c r="K17" s="13">
        <f>0.5+0.5+0.5</f>
        <v>1.5</v>
      </c>
      <c r="L17" s="14" t="s">
        <v>70</v>
      </c>
      <c r="M17" s="14">
        <v>1.0</v>
      </c>
      <c r="N17" s="13">
        <f t="shared" si="3"/>
        <v>4</v>
      </c>
      <c r="O17" s="14" t="s">
        <v>120</v>
      </c>
    </row>
    <row r="18" ht="37.5" customHeight="1">
      <c r="A18" s="13"/>
      <c r="B18" s="14" t="s">
        <v>308</v>
      </c>
      <c r="C18" s="14" t="s">
        <v>264</v>
      </c>
      <c r="D18" s="14">
        <f>IFS(OR(C18="Precision",C18="Aggressive"),0,C18="Adaptive",0.5,OR(C18="Rapid",C18="High-Impact"),1)-1</f>
        <v>0</v>
      </c>
      <c r="E18" s="14" t="s">
        <v>157</v>
      </c>
      <c r="F18" s="14">
        <f t="shared" si="2"/>
        <v>0</v>
      </c>
      <c r="G18" s="14" t="s">
        <v>75</v>
      </c>
      <c r="H18" s="14" t="s">
        <v>309</v>
      </c>
      <c r="I18" s="14" t="s">
        <v>272</v>
      </c>
      <c r="J18" s="14" t="s">
        <v>75</v>
      </c>
      <c r="K18" s="13">
        <f>2+1+0.5-1</f>
        <v>2.5</v>
      </c>
      <c r="L18" s="14" t="s">
        <v>87</v>
      </c>
      <c r="M18" s="14">
        <v>1.0</v>
      </c>
      <c r="N18" s="13">
        <f t="shared" si="3"/>
        <v>3.5</v>
      </c>
      <c r="O18" s="14" t="s">
        <v>136</v>
      </c>
    </row>
    <row r="19" ht="37.5" customHeight="1">
      <c r="A19" s="13"/>
      <c r="B19" s="14" t="s">
        <v>310</v>
      </c>
      <c r="C19" s="14" t="s">
        <v>14</v>
      </c>
      <c r="D19" s="14">
        <f t="shared" ref="D19:D31" si="6">IFS(OR(C19="Precision",C19="Aggressive"),0,C19="Adaptive",0.5,OR(C19="Rapid",C19="High-Impact"),1)</f>
        <v>1</v>
      </c>
      <c r="E19" s="14" t="s">
        <v>94</v>
      </c>
      <c r="F19" s="14">
        <f t="shared" si="2"/>
        <v>0</v>
      </c>
      <c r="G19" s="14" t="s">
        <v>75</v>
      </c>
      <c r="H19" s="14" t="s">
        <v>85</v>
      </c>
      <c r="I19" s="14" t="s">
        <v>75</v>
      </c>
      <c r="J19" s="14" t="s">
        <v>311</v>
      </c>
      <c r="K19" s="14">
        <f>1+0.5</f>
        <v>1.5</v>
      </c>
      <c r="L19" s="14" t="s">
        <v>284</v>
      </c>
      <c r="M19" s="14">
        <v>1.0</v>
      </c>
      <c r="N19" s="13">
        <f t="shared" si="3"/>
        <v>3.5</v>
      </c>
      <c r="O19" s="14" t="s">
        <v>136</v>
      </c>
    </row>
    <row r="20" ht="37.5" customHeight="1">
      <c r="A20" s="13"/>
      <c r="B20" s="14" t="s">
        <v>312</v>
      </c>
      <c r="C20" s="14" t="s">
        <v>13</v>
      </c>
      <c r="D20" s="14">
        <f t="shared" si="6"/>
        <v>0.5</v>
      </c>
      <c r="E20" s="14" t="s">
        <v>73</v>
      </c>
      <c r="F20" s="14">
        <f t="shared" si="2"/>
        <v>0.5</v>
      </c>
      <c r="G20" s="14" t="s">
        <v>75</v>
      </c>
      <c r="H20" s="14" t="s">
        <v>313</v>
      </c>
      <c r="I20" s="14" t="s">
        <v>269</v>
      </c>
      <c r="J20" s="14" t="s">
        <v>311</v>
      </c>
      <c r="K20" s="14">
        <f>1+0.5+0.5</f>
        <v>2</v>
      </c>
      <c r="L20" s="14" t="s">
        <v>284</v>
      </c>
      <c r="M20" s="14">
        <v>0.0</v>
      </c>
      <c r="N20" s="13">
        <f t="shared" si="3"/>
        <v>3</v>
      </c>
      <c r="O20" s="14" t="s">
        <v>136</v>
      </c>
    </row>
    <row r="21" ht="37.5" customHeight="1">
      <c r="A21" s="13"/>
      <c r="B21" s="14" t="s">
        <v>314</v>
      </c>
      <c r="C21" s="14" t="s">
        <v>13</v>
      </c>
      <c r="D21" s="14">
        <f t="shared" si="6"/>
        <v>0.5</v>
      </c>
      <c r="E21" s="14" t="s">
        <v>157</v>
      </c>
      <c r="F21" s="14">
        <f t="shared" si="2"/>
        <v>0</v>
      </c>
      <c r="G21" s="14" t="s">
        <v>75</v>
      </c>
      <c r="H21" s="14" t="s">
        <v>75</v>
      </c>
      <c r="I21" s="14" t="s">
        <v>315</v>
      </c>
      <c r="J21" s="14" t="s">
        <v>226</v>
      </c>
      <c r="K21" s="14">
        <f>1+1</f>
        <v>2</v>
      </c>
      <c r="L21" s="14" t="s">
        <v>87</v>
      </c>
      <c r="M21" s="14">
        <v>0.0</v>
      </c>
      <c r="N21" s="13">
        <f t="shared" si="3"/>
        <v>2.5</v>
      </c>
      <c r="O21" s="14" t="s">
        <v>136</v>
      </c>
    </row>
    <row r="22" ht="37.5" customHeight="1">
      <c r="A22" s="13"/>
      <c r="B22" s="14" t="s">
        <v>316</v>
      </c>
      <c r="C22" s="14" t="s">
        <v>264</v>
      </c>
      <c r="D22" s="14">
        <f t="shared" si="6"/>
        <v>1</v>
      </c>
      <c r="E22" s="14" t="s">
        <v>65</v>
      </c>
      <c r="F22" s="14">
        <f t="shared" si="2"/>
        <v>0</v>
      </c>
      <c r="G22" s="14" t="s">
        <v>75</v>
      </c>
      <c r="H22" s="14" t="s">
        <v>317</v>
      </c>
      <c r="I22" s="14" t="s">
        <v>75</v>
      </c>
      <c r="J22" s="14" t="s">
        <v>289</v>
      </c>
      <c r="K22" s="13">
        <f>0.5+1</f>
        <v>1.5</v>
      </c>
      <c r="L22" s="14" t="s">
        <v>284</v>
      </c>
      <c r="M22" s="14">
        <v>0.0</v>
      </c>
      <c r="N22" s="13">
        <f t="shared" si="3"/>
        <v>2.5</v>
      </c>
      <c r="O22" s="14" t="s">
        <v>136</v>
      </c>
    </row>
    <row r="23" ht="37.5" customHeight="1">
      <c r="A23" s="13"/>
      <c r="B23" s="14" t="s">
        <v>318</v>
      </c>
      <c r="C23" s="14" t="s">
        <v>17</v>
      </c>
      <c r="D23" s="14">
        <f t="shared" si="6"/>
        <v>0</v>
      </c>
      <c r="E23" s="14" t="s">
        <v>65</v>
      </c>
      <c r="F23" s="14">
        <f t="shared" si="2"/>
        <v>0</v>
      </c>
      <c r="G23" s="14" t="s">
        <v>90</v>
      </c>
      <c r="H23" s="14" t="s">
        <v>288</v>
      </c>
      <c r="I23" s="14" t="s">
        <v>75</v>
      </c>
      <c r="J23" s="14" t="s">
        <v>155</v>
      </c>
      <c r="K23" s="14">
        <f>0.5+0.5+1+0.5</f>
        <v>2.5</v>
      </c>
      <c r="L23" s="14" t="s">
        <v>284</v>
      </c>
      <c r="M23" s="14">
        <v>0.0</v>
      </c>
      <c r="N23" s="13">
        <f t="shared" si="3"/>
        <v>2.5</v>
      </c>
      <c r="O23" s="14" t="s">
        <v>136</v>
      </c>
    </row>
    <row r="24" ht="37.5" customHeight="1">
      <c r="A24" s="13"/>
      <c r="B24" s="14" t="s">
        <v>319</v>
      </c>
      <c r="C24" s="14" t="s">
        <v>17</v>
      </c>
      <c r="D24" s="14">
        <f t="shared" si="6"/>
        <v>0</v>
      </c>
      <c r="E24" s="14" t="s">
        <v>94</v>
      </c>
      <c r="F24" s="14">
        <f t="shared" si="2"/>
        <v>0</v>
      </c>
      <c r="G24" s="14" t="s">
        <v>75</v>
      </c>
      <c r="H24" s="14" t="s">
        <v>75</v>
      </c>
      <c r="I24" s="14" t="s">
        <v>75</v>
      </c>
      <c r="J24" s="14" t="s">
        <v>320</v>
      </c>
      <c r="K24" s="13">
        <f>1.5+1</f>
        <v>2.5</v>
      </c>
      <c r="L24" s="14" t="s">
        <v>284</v>
      </c>
      <c r="M24" s="14">
        <v>0.0</v>
      </c>
      <c r="N24" s="13">
        <f t="shared" si="3"/>
        <v>2.5</v>
      </c>
      <c r="O24" s="14" t="s">
        <v>136</v>
      </c>
    </row>
    <row r="25" ht="37.5" customHeight="1">
      <c r="A25" s="13"/>
      <c r="B25" s="14" t="s">
        <v>321</v>
      </c>
      <c r="C25" s="14" t="s">
        <v>264</v>
      </c>
      <c r="D25" s="14">
        <f t="shared" si="6"/>
        <v>1</v>
      </c>
      <c r="E25" s="14" t="s">
        <v>65</v>
      </c>
      <c r="F25" s="14">
        <f t="shared" si="2"/>
        <v>0</v>
      </c>
      <c r="G25" s="14" t="s">
        <v>75</v>
      </c>
      <c r="H25" s="14" t="s">
        <v>75</v>
      </c>
      <c r="I25" s="14" t="s">
        <v>322</v>
      </c>
      <c r="J25" s="14" t="s">
        <v>289</v>
      </c>
      <c r="K25" s="14">
        <f>0.5+1</f>
        <v>1.5</v>
      </c>
      <c r="L25" s="14" t="s">
        <v>284</v>
      </c>
      <c r="M25" s="14">
        <v>0.0</v>
      </c>
      <c r="N25" s="13">
        <f t="shared" si="3"/>
        <v>2.5</v>
      </c>
      <c r="O25" s="14" t="s">
        <v>136</v>
      </c>
    </row>
    <row r="26" ht="37.5" customHeight="1">
      <c r="A26" s="13"/>
      <c r="B26" s="14" t="s">
        <v>323</v>
      </c>
      <c r="C26" s="14" t="s">
        <v>13</v>
      </c>
      <c r="D26" s="14">
        <f t="shared" si="6"/>
        <v>0.5</v>
      </c>
      <c r="E26" s="14" t="s">
        <v>73</v>
      </c>
      <c r="F26" s="14">
        <f t="shared" si="2"/>
        <v>0.5</v>
      </c>
      <c r="G26" s="14" t="s">
        <v>80</v>
      </c>
      <c r="H26" s="14" t="s">
        <v>85</v>
      </c>
      <c r="I26" s="14" t="s">
        <v>269</v>
      </c>
      <c r="J26" s="14" t="s">
        <v>75</v>
      </c>
      <c r="K26" s="13">
        <f>0.5+0.5+1+0.5-1</f>
        <v>1.5</v>
      </c>
      <c r="L26" s="14" t="s">
        <v>284</v>
      </c>
      <c r="M26" s="14">
        <v>0.0</v>
      </c>
      <c r="N26" s="13">
        <f t="shared" si="3"/>
        <v>2.5</v>
      </c>
      <c r="O26" s="14" t="s">
        <v>136</v>
      </c>
    </row>
    <row r="27" ht="37.5" customHeight="1">
      <c r="A27" s="13"/>
      <c r="B27" s="14" t="s">
        <v>324</v>
      </c>
      <c r="C27" s="14" t="s">
        <v>17</v>
      </c>
      <c r="D27" s="14">
        <f t="shared" si="6"/>
        <v>0</v>
      </c>
      <c r="E27" s="14" t="s">
        <v>65</v>
      </c>
      <c r="F27" s="14">
        <f t="shared" si="2"/>
        <v>0</v>
      </c>
      <c r="G27" s="14" t="s">
        <v>75</v>
      </c>
      <c r="H27" s="14" t="s">
        <v>75</v>
      </c>
      <c r="I27" s="14" t="s">
        <v>75</v>
      </c>
      <c r="J27" s="14" t="s">
        <v>325</v>
      </c>
      <c r="K27" s="14">
        <f>1.5+0.5</f>
        <v>2</v>
      </c>
      <c r="L27" s="14" t="s">
        <v>70</v>
      </c>
      <c r="M27" s="14">
        <v>0.0</v>
      </c>
      <c r="N27" s="13">
        <f t="shared" si="3"/>
        <v>2</v>
      </c>
      <c r="O27" s="14" t="s">
        <v>167</v>
      </c>
    </row>
    <row r="28" ht="37.5" customHeight="1">
      <c r="A28" s="13"/>
      <c r="B28" s="14" t="s">
        <v>326</v>
      </c>
      <c r="C28" s="14" t="s">
        <v>17</v>
      </c>
      <c r="D28" s="14">
        <f t="shared" si="6"/>
        <v>0</v>
      </c>
      <c r="E28" s="14" t="s">
        <v>65</v>
      </c>
      <c r="F28" s="14">
        <f t="shared" si="2"/>
        <v>0</v>
      </c>
      <c r="G28" s="14" t="s">
        <v>75</v>
      </c>
      <c r="H28" s="14" t="s">
        <v>85</v>
      </c>
      <c r="I28" s="14" t="s">
        <v>75</v>
      </c>
      <c r="J28" s="14" t="s">
        <v>311</v>
      </c>
      <c r="K28" s="14">
        <f>1+0.5</f>
        <v>1.5</v>
      </c>
      <c r="L28" s="14" t="s">
        <v>284</v>
      </c>
      <c r="M28" s="14">
        <v>0.0</v>
      </c>
      <c r="N28" s="13">
        <f t="shared" si="3"/>
        <v>1.5</v>
      </c>
      <c r="O28" s="14" t="s">
        <v>167</v>
      </c>
    </row>
    <row r="29" ht="37.5" customHeight="1">
      <c r="A29" s="13"/>
      <c r="B29" s="14" t="s">
        <v>327</v>
      </c>
      <c r="C29" s="14" t="s">
        <v>14</v>
      </c>
      <c r="D29" s="14">
        <f t="shared" si="6"/>
        <v>1</v>
      </c>
      <c r="E29" s="14" t="s">
        <v>94</v>
      </c>
      <c r="F29" s="14">
        <f t="shared" si="2"/>
        <v>0</v>
      </c>
      <c r="G29" s="14" t="s">
        <v>75</v>
      </c>
      <c r="H29" s="14" t="s">
        <v>288</v>
      </c>
      <c r="I29" s="14" t="s">
        <v>75</v>
      </c>
      <c r="J29" s="14" t="s">
        <v>75</v>
      </c>
      <c r="K29" s="14">
        <f>0.5-1</f>
        <v>-0.5</v>
      </c>
      <c r="L29" s="14" t="s">
        <v>284</v>
      </c>
      <c r="M29" s="14">
        <v>0.0</v>
      </c>
      <c r="N29" s="13">
        <f t="shared" si="3"/>
        <v>0.5</v>
      </c>
      <c r="O29" s="14" t="s">
        <v>167</v>
      </c>
    </row>
    <row r="30" ht="37.5" customHeight="1">
      <c r="A30" s="13"/>
      <c r="B30" s="14" t="s">
        <v>328</v>
      </c>
      <c r="C30" s="14" t="s">
        <v>17</v>
      </c>
      <c r="D30" s="14">
        <f t="shared" si="6"/>
        <v>0</v>
      </c>
      <c r="E30" s="14" t="s">
        <v>94</v>
      </c>
      <c r="F30" s="14">
        <f t="shared" si="2"/>
        <v>0</v>
      </c>
      <c r="G30" s="14" t="s">
        <v>75</v>
      </c>
      <c r="H30" s="14" t="s">
        <v>75</v>
      </c>
      <c r="I30" s="14" t="s">
        <v>75</v>
      </c>
      <c r="J30" s="14" t="s">
        <v>329</v>
      </c>
      <c r="K30" s="14">
        <f>0.5</f>
        <v>0.5</v>
      </c>
      <c r="L30" s="14" t="s">
        <v>284</v>
      </c>
      <c r="M30" s="14">
        <v>0.0</v>
      </c>
      <c r="N30" s="13">
        <f t="shared" si="3"/>
        <v>0.5</v>
      </c>
      <c r="O30" s="14" t="s">
        <v>167</v>
      </c>
    </row>
    <row r="31" ht="37.5" customHeight="1">
      <c r="A31" s="13"/>
      <c r="B31" s="14" t="s">
        <v>330</v>
      </c>
      <c r="C31" s="14" t="s">
        <v>16</v>
      </c>
      <c r="D31" s="14">
        <f t="shared" si="6"/>
        <v>0</v>
      </c>
      <c r="E31" s="14" t="s">
        <v>94</v>
      </c>
      <c r="F31" s="14">
        <f t="shared" si="2"/>
        <v>0</v>
      </c>
      <c r="G31" s="14" t="s">
        <v>75</v>
      </c>
      <c r="H31" s="14" t="s">
        <v>288</v>
      </c>
      <c r="I31" s="14" t="s">
        <v>75</v>
      </c>
      <c r="J31" s="14" t="s">
        <v>75</v>
      </c>
      <c r="K31" s="13">
        <f>0.5-1</f>
        <v>-0.5</v>
      </c>
      <c r="L31" s="14" t="s">
        <v>284</v>
      </c>
      <c r="M31" s="14">
        <v>0.0</v>
      </c>
      <c r="N31" s="13">
        <f t="shared" si="3"/>
        <v>-0.5</v>
      </c>
      <c r="O31" s="14" t="s">
        <v>167</v>
      </c>
    </row>
  </sheetData>
  <autoFilter ref="$A$2:$O$31">
    <sortState ref="A2:O31">
      <sortCondition descending="1" ref="N2:N31"/>
      <sortCondition ref="B2:B31"/>
      <sortCondition descending="1" ref="K2:K31"/>
      <sortCondition descending="1" ref="M2:M31"/>
      <sortCondition descending="1" ref="O2:O31"/>
    </sortState>
  </autoFilter>
  <mergeCells count="6">
    <mergeCell ref="A1:B1"/>
    <mergeCell ref="C1:D1"/>
    <mergeCell ref="E1:F1"/>
    <mergeCell ref="G1:K1"/>
    <mergeCell ref="L1:M1"/>
    <mergeCell ref="N1:O1"/>
  </mergeCells>
  <conditionalFormatting sqref="N3:O31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8.25"/>
    <col customWidth="1" min="6" max="6" width="8.13"/>
    <col customWidth="1" min="7" max="7" width="18.88"/>
    <col customWidth="1" min="8" max="8" width="20.75"/>
    <col customWidth="1" min="9" max="9" width="18.88"/>
    <col customWidth="1" min="10" max="10" width="23.13"/>
    <col customWidth="1" min="11" max="11" width="8.13"/>
    <col customWidth="1" min="12" max="12" width="12.25"/>
    <col customWidth="1" min="13" max="13" width="8.13"/>
    <col customWidth="1" min="14" max="14" width="7.5"/>
    <col customWidth="1" min="15" max="15" width="6.63"/>
  </cols>
  <sheetData>
    <row r="1" ht="15.0" customHeight="1">
      <c r="A1" s="5" t="s">
        <v>47</v>
      </c>
      <c r="C1" s="6" t="s">
        <v>48</v>
      </c>
      <c r="E1" s="7" t="s">
        <v>49</v>
      </c>
      <c r="G1" s="8" t="s">
        <v>181</v>
      </c>
      <c r="L1" s="9" t="s">
        <v>51</v>
      </c>
      <c r="N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56</v>
      </c>
      <c r="G2" s="11" t="s">
        <v>0</v>
      </c>
      <c r="H2" s="11" t="s">
        <v>59</v>
      </c>
      <c r="I2" s="11" t="s">
        <v>262</v>
      </c>
      <c r="J2" s="11" t="s">
        <v>60</v>
      </c>
      <c r="K2" s="11" t="s">
        <v>56</v>
      </c>
      <c r="L2" s="11" t="s">
        <v>61</v>
      </c>
      <c r="M2" s="11" t="s">
        <v>56</v>
      </c>
      <c r="N2" s="12" t="s">
        <v>62</v>
      </c>
      <c r="O2" s="12" t="s">
        <v>63</v>
      </c>
    </row>
    <row r="3" ht="37.5" customHeight="1">
      <c r="A3" s="13"/>
      <c r="B3" s="14" t="s">
        <v>331</v>
      </c>
      <c r="C3" s="14" t="s">
        <v>40</v>
      </c>
      <c r="D3" s="14">
        <f t="shared" ref="D3:D17" si="1">IFS(C3="Lightweight",0,OR(C3="Wave",C3="Double Fire"),1)</f>
        <v>1</v>
      </c>
      <c r="E3" s="14" t="s">
        <v>65</v>
      </c>
      <c r="F3" s="14">
        <f t="shared" ref="F3:F17" si="2">IF(OR(AND(C3="Lightweight",E3="Solar"),E3="Kinetic"),1,0)</f>
        <v>0</v>
      </c>
      <c r="G3" s="14" t="s">
        <v>75</v>
      </c>
      <c r="H3" s="14" t="s">
        <v>332</v>
      </c>
      <c r="I3" s="14" t="s">
        <v>333</v>
      </c>
      <c r="J3" s="14" t="s">
        <v>334</v>
      </c>
      <c r="K3" s="14">
        <f>2+1+1+2+1+1</f>
        <v>8</v>
      </c>
      <c r="L3" s="14" t="s">
        <v>335</v>
      </c>
      <c r="M3" s="14">
        <v>2.0</v>
      </c>
      <c r="N3" s="13">
        <f t="shared" ref="N3:N17" si="3">SUM(D3,F3,K3,M3)</f>
        <v>11</v>
      </c>
      <c r="O3" s="14" t="s">
        <v>71</v>
      </c>
    </row>
    <row r="4" ht="37.5" customHeight="1">
      <c r="A4" s="13"/>
      <c r="B4" s="14" t="s">
        <v>336</v>
      </c>
      <c r="C4" s="14" t="s">
        <v>41</v>
      </c>
      <c r="D4" s="14">
        <f t="shared" si="1"/>
        <v>1</v>
      </c>
      <c r="E4" s="14" t="s">
        <v>94</v>
      </c>
      <c r="F4" s="14">
        <f t="shared" si="2"/>
        <v>0</v>
      </c>
      <c r="G4" s="14" t="s">
        <v>90</v>
      </c>
      <c r="H4" s="14" t="s">
        <v>85</v>
      </c>
      <c r="I4" s="14" t="s">
        <v>337</v>
      </c>
      <c r="J4" s="14" t="s">
        <v>338</v>
      </c>
      <c r="K4" s="13">
        <f>0.5+2+1+1+1</f>
        <v>5.5</v>
      </c>
      <c r="L4" s="14" t="s">
        <v>339</v>
      </c>
      <c r="M4" s="14">
        <v>2.0</v>
      </c>
      <c r="N4" s="13">
        <f t="shared" si="3"/>
        <v>8.5</v>
      </c>
      <c r="O4" s="14" t="s">
        <v>71</v>
      </c>
    </row>
    <row r="5" ht="37.5" customHeight="1">
      <c r="A5" s="13"/>
      <c r="B5" s="14" t="s">
        <v>340</v>
      </c>
      <c r="C5" s="14" t="s">
        <v>24</v>
      </c>
      <c r="D5" s="14">
        <f t="shared" si="1"/>
        <v>0</v>
      </c>
      <c r="E5" s="14" t="s">
        <v>89</v>
      </c>
      <c r="F5" s="14">
        <f t="shared" si="2"/>
        <v>1</v>
      </c>
      <c r="G5" s="14" t="s">
        <v>67</v>
      </c>
      <c r="H5" s="14" t="s">
        <v>341</v>
      </c>
      <c r="I5" s="14" t="s">
        <v>342</v>
      </c>
      <c r="J5" s="14" t="s">
        <v>343</v>
      </c>
      <c r="K5" s="13">
        <f>0.5+0.5+2+1+1</f>
        <v>5</v>
      </c>
      <c r="L5" s="14" t="s">
        <v>87</v>
      </c>
      <c r="M5" s="14">
        <v>2.0</v>
      </c>
      <c r="N5" s="13">
        <f t="shared" si="3"/>
        <v>8</v>
      </c>
      <c r="O5" s="14" t="s">
        <v>92</v>
      </c>
    </row>
    <row r="6" ht="37.5" customHeight="1">
      <c r="A6" s="13"/>
      <c r="B6" s="14" t="s">
        <v>344</v>
      </c>
      <c r="C6" s="14" t="s">
        <v>40</v>
      </c>
      <c r="D6" s="14">
        <f t="shared" si="1"/>
        <v>1</v>
      </c>
      <c r="E6" s="14" t="s">
        <v>94</v>
      </c>
      <c r="F6" s="14">
        <f t="shared" si="2"/>
        <v>0</v>
      </c>
      <c r="G6" s="14" t="s">
        <v>90</v>
      </c>
      <c r="H6" s="14" t="s">
        <v>345</v>
      </c>
      <c r="I6" s="14" t="s">
        <v>346</v>
      </c>
      <c r="J6" s="14" t="s">
        <v>347</v>
      </c>
      <c r="K6" s="14">
        <f t="shared" ref="K6:K7" si="4">0.5+2+1+1+1</f>
        <v>5.5</v>
      </c>
      <c r="L6" s="14" t="s">
        <v>335</v>
      </c>
      <c r="M6" s="14">
        <v>1.0</v>
      </c>
      <c r="N6" s="13">
        <f t="shared" si="3"/>
        <v>7.5</v>
      </c>
      <c r="O6" s="14" t="s">
        <v>92</v>
      </c>
    </row>
    <row r="7" ht="37.5" customHeight="1">
      <c r="A7" s="13"/>
      <c r="B7" s="14" t="s">
        <v>348</v>
      </c>
      <c r="C7" s="14" t="s">
        <v>40</v>
      </c>
      <c r="D7" s="14">
        <f t="shared" si="1"/>
        <v>1</v>
      </c>
      <c r="E7" s="14" t="s">
        <v>73</v>
      </c>
      <c r="F7" s="14">
        <f t="shared" si="2"/>
        <v>0</v>
      </c>
      <c r="G7" s="14" t="s">
        <v>125</v>
      </c>
      <c r="H7" s="14" t="s">
        <v>85</v>
      </c>
      <c r="I7" s="14" t="s">
        <v>349</v>
      </c>
      <c r="J7" s="14" t="s">
        <v>350</v>
      </c>
      <c r="K7" s="13">
        <f t="shared" si="4"/>
        <v>5.5</v>
      </c>
      <c r="L7" s="14" t="s">
        <v>335</v>
      </c>
      <c r="M7" s="14">
        <v>1.0</v>
      </c>
      <c r="N7" s="13">
        <f t="shared" si="3"/>
        <v>7.5</v>
      </c>
      <c r="O7" s="14" t="s">
        <v>92</v>
      </c>
    </row>
    <row r="8" ht="37.5" customHeight="1">
      <c r="A8" s="13"/>
      <c r="B8" s="14" t="s">
        <v>351</v>
      </c>
      <c r="C8" s="14" t="s">
        <v>40</v>
      </c>
      <c r="D8" s="14">
        <f t="shared" si="1"/>
        <v>1</v>
      </c>
      <c r="E8" s="14" t="s">
        <v>94</v>
      </c>
      <c r="F8" s="14">
        <f t="shared" si="2"/>
        <v>0</v>
      </c>
      <c r="G8" s="14" t="s">
        <v>125</v>
      </c>
      <c r="H8" s="14" t="s">
        <v>199</v>
      </c>
      <c r="I8" s="14" t="s">
        <v>352</v>
      </c>
      <c r="J8" s="14" t="s">
        <v>75</v>
      </c>
      <c r="K8" s="14">
        <f>0.5+1+1+1+1+1</f>
        <v>5.5</v>
      </c>
      <c r="L8" s="14" t="s">
        <v>335</v>
      </c>
      <c r="M8" s="14">
        <v>1.0</v>
      </c>
      <c r="N8" s="13">
        <f t="shared" si="3"/>
        <v>7.5</v>
      </c>
      <c r="O8" s="14" t="s">
        <v>92</v>
      </c>
    </row>
    <row r="9" ht="37.5" customHeight="1">
      <c r="A9" s="13"/>
      <c r="B9" s="14" t="s">
        <v>353</v>
      </c>
      <c r="C9" s="14" t="s">
        <v>40</v>
      </c>
      <c r="D9" s="14">
        <f t="shared" si="1"/>
        <v>1</v>
      </c>
      <c r="E9" s="14" t="s">
        <v>157</v>
      </c>
      <c r="F9" s="14">
        <f t="shared" si="2"/>
        <v>0</v>
      </c>
      <c r="G9" s="14" t="s">
        <v>90</v>
      </c>
      <c r="H9" s="14" t="s">
        <v>75</v>
      </c>
      <c r="I9" s="14" t="s">
        <v>354</v>
      </c>
      <c r="J9" s="14" t="s">
        <v>355</v>
      </c>
      <c r="K9" s="14">
        <f>0.5+1+1+1+1</f>
        <v>4.5</v>
      </c>
      <c r="L9" s="14" t="s">
        <v>356</v>
      </c>
      <c r="M9" s="14">
        <v>2.0</v>
      </c>
      <c r="N9" s="13">
        <f t="shared" si="3"/>
        <v>7.5</v>
      </c>
      <c r="O9" s="14" t="s">
        <v>92</v>
      </c>
    </row>
    <row r="10" ht="37.5" customHeight="1">
      <c r="A10" s="13"/>
      <c r="B10" s="14" t="s">
        <v>357</v>
      </c>
      <c r="C10" s="14" t="s">
        <v>24</v>
      </c>
      <c r="D10" s="14">
        <f t="shared" si="1"/>
        <v>0</v>
      </c>
      <c r="E10" s="14" t="s">
        <v>73</v>
      </c>
      <c r="F10" s="14">
        <f t="shared" si="2"/>
        <v>1</v>
      </c>
      <c r="G10" s="14" t="s">
        <v>67</v>
      </c>
      <c r="H10" s="14" t="s">
        <v>345</v>
      </c>
      <c r="I10" s="14" t="s">
        <v>342</v>
      </c>
      <c r="J10" s="14" t="s">
        <v>141</v>
      </c>
      <c r="K10" s="13">
        <f>0.5+0.5+2+1+1</f>
        <v>5</v>
      </c>
      <c r="L10" s="14" t="s">
        <v>284</v>
      </c>
      <c r="M10" s="14">
        <v>1.0</v>
      </c>
      <c r="N10" s="13">
        <f t="shared" si="3"/>
        <v>7</v>
      </c>
      <c r="O10" s="14" t="s">
        <v>120</v>
      </c>
    </row>
    <row r="11" ht="37.5" customHeight="1">
      <c r="A11" s="13"/>
      <c r="B11" s="14" t="s">
        <v>358</v>
      </c>
      <c r="C11" s="14" t="s">
        <v>24</v>
      </c>
      <c r="D11" s="14">
        <f t="shared" si="1"/>
        <v>0</v>
      </c>
      <c r="E11" s="14" t="s">
        <v>157</v>
      </c>
      <c r="F11" s="14">
        <f t="shared" si="2"/>
        <v>0</v>
      </c>
      <c r="G11" s="14" t="s">
        <v>75</v>
      </c>
      <c r="H11" s="14" t="s">
        <v>345</v>
      </c>
      <c r="I11" s="14" t="s">
        <v>359</v>
      </c>
      <c r="J11" s="14" t="s">
        <v>141</v>
      </c>
      <c r="K11" s="14">
        <f>1+2+1+1</f>
        <v>5</v>
      </c>
      <c r="L11" s="14" t="s">
        <v>87</v>
      </c>
      <c r="M11" s="14">
        <v>2.0</v>
      </c>
      <c r="N11" s="13">
        <f t="shared" si="3"/>
        <v>7</v>
      </c>
      <c r="O11" s="14" t="s">
        <v>120</v>
      </c>
    </row>
    <row r="12" ht="37.5" customHeight="1">
      <c r="A12" s="13"/>
      <c r="B12" s="14" t="s">
        <v>360</v>
      </c>
      <c r="C12" s="14" t="s">
        <v>24</v>
      </c>
      <c r="D12" s="14">
        <f t="shared" si="1"/>
        <v>0</v>
      </c>
      <c r="E12" s="14" t="s">
        <v>65</v>
      </c>
      <c r="F12" s="14">
        <f t="shared" si="2"/>
        <v>0</v>
      </c>
      <c r="G12" s="14" t="s">
        <v>75</v>
      </c>
      <c r="H12" s="14" t="s">
        <v>332</v>
      </c>
      <c r="I12" s="14" t="s">
        <v>361</v>
      </c>
      <c r="J12" s="14" t="s">
        <v>141</v>
      </c>
      <c r="K12" s="14">
        <f>2+1+2+1</f>
        <v>6</v>
      </c>
      <c r="L12" s="14" t="s">
        <v>362</v>
      </c>
      <c r="M12" s="14">
        <v>1.0</v>
      </c>
      <c r="N12" s="13">
        <f t="shared" si="3"/>
        <v>7</v>
      </c>
      <c r="O12" s="14" t="s">
        <v>120</v>
      </c>
    </row>
    <row r="13" ht="37.5" customHeight="1">
      <c r="A13" s="13"/>
      <c r="B13" s="14" t="s">
        <v>363</v>
      </c>
      <c r="C13" s="14" t="s">
        <v>24</v>
      </c>
      <c r="D13" s="14">
        <f t="shared" si="1"/>
        <v>0</v>
      </c>
      <c r="E13" s="14" t="s">
        <v>89</v>
      </c>
      <c r="F13" s="14">
        <f t="shared" si="2"/>
        <v>1</v>
      </c>
      <c r="G13" s="14" t="s">
        <v>90</v>
      </c>
      <c r="H13" s="14" t="s">
        <v>364</v>
      </c>
      <c r="I13" s="14" t="s">
        <v>365</v>
      </c>
      <c r="J13" s="14" t="s">
        <v>247</v>
      </c>
      <c r="K13" s="13">
        <f>0.5+2+1+1</f>
        <v>4.5</v>
      </c>
      <c r="L13" s="14" t="s">
        <v>87</v>
      </c>
      <c r="M13" s="14">
        <v>1.0</v>
      </c>
      <c r="N13" s="13">
        <f t="shared" si="3"/>
        <v>6.5</v>
      </c>
      <c r="O13" s="14" t="s">
        <v>136</v>
      </c>
    </row>
    <row r="14" ht="37.5" customHeight="1">
      <c r="A14" s="13"/>
      <c r="B14" s="14" t="s">
        <v>366</v>
      </c>
      <c r="C14" s="14" t="s">
        <v>24</v>
      </c>
      <c r="D14" s="14">
        <f t="shared" si="1"/>
        <v>0</v>
      </c>
      <c r="E14" s="14" t="s">
        <v>89</v>
      </c>
      <c r="F14" s="14">
        <f t="shared" si="2"/>
        <v>1</v>
      </c>
      <c r="G14" s="14" t="s">
        <v>75</v>
      </c>
      <c r="H14" s="14" t="s">
        <v>345</v>
      </c>
      <c r="I14" s="14" t="s">
        <v>269</v>
      </c>
      <c r="J14" s="14" t="s">
        <v>141</v>
      </c>
      <c r="K14" s="13">
        <f>1+1+1</f>
        <v>3</v>
      </c>
      <c r="L14" s="14" t="s">
        <v>87</v>
      </c>
      <c r="M14" s="14">
        <v>1.0</v>
      </c>
      <c r="N14" s="13">
        <f t="shared" si="3"/>
        <v>5</v>
      </c>
      <c r="O14" s="14" t="s">
        <v>136</v>
      </c>
    </row>
    <row r="15" ht="37.5" customHeight="1">
      <c r="A15" s="13"/>
      <c r="B15" s="14" t="s">
        <v>367</v>
      </c>
      <c r="C15" s="14" t="s">
        <v>24</v>
      </c>
      <c r="D15" s="14">
        <f t="shared" si="1"/>
        <v>0</v>
      </c>
      <c r="E15" s="14" t="s">
        <v>94</v>
      </c>
      <c r="F15" s="14">
        <f t="shared" si="2"/>
        <v>0</v>
      </c>
      <c r="G15" s="14" t="s">
        <v>125</v>
      </c>
      <c r="H15" s="14" t="s">
        <v>85</v>
      </c>
      <c r="I15" s="14" t="s">
        <v>269</v>
      </c>
      <c r="J15" s="14" t="s">
        <v>75</v>
      </c>
      <c r="K15" s="13">
        <f t="shared" ref="K15:K16" si="5">0.5+2+1</f>
        <v>3.5</v>
      </c>
      <c r="L15" s="14" t="s">
        <v>70</v>
      </c>
      <c r="M15" s="14">
        <v>0.0</v>
      </c>
      <c r="N15" s="13">
        <f t="shared" si="3"/>
        <v>3.5</v>
      </c>
      <c r="O15" s="14" t="s">
        <v>167</v>
      </c>
    </row>
    <row r="16" ht="37.5" customHeight="1">
      <c r="A16" s="13"/>
      <c r="B16" s="14" t="s">
        <v>368</v>
      </c>
      <c r="C16" s="14" t="s">
        <v>24</v>
      </c>
      <c r="D16" s="14">
        <f t="shared" si="1"/>
        <v>0</v>
      </c>
      <c r="E16" s="14" t="s">
        <v>94</v>
      </c>
      <c r="F16" s="14">
        <f t="shared" si="2"/>
        <v>0</v>
      </c>
      <c r="G16" s="14" t="s">
        <v>125</v>
      </c>
      <c r="H16" s="14" t="s">
        <v>85</v>
      </c>
      <c r="I16" s="14" t="s">
        <v>269</v>
      </c>
      <c r="J16" s="14" t="s">
        <v>75</v>
      </c>
      <c r="K16" s="14">
        <f t="shared" si="5"/>
        <v>3.5</v>
      </c>
      <c r="L16" s="14" t="s">
        <v>70</v>
      </c>
      <c r="M16" s="14">
        <v>0.0</v>
      </c>
      <c r="N16" s="13">
        <f t="shared" si="3"/>
        <v>3.5</v>
      </c>
      <c r="O16" s="14" t="s">
        <v>167</v>
      </c>
    </row>
    <row r="17" ht="37.5" customHeight="1">
      <c r="A17" s="13"/>
      <c r="B17" s="14" t="s">
        <v>369</v>
      </c>
      <c r="C17" s="14" t="s">
        <v>24</v>
      </c>
      <c r="D17" s="14">
        <f t="shared" si="1"/>
        <v>0</v>
      </c>
      <c r="E17" s="14" t="s">
        <v>65</v>
      </c>
      <c r="F17" s="14">
        <f t="shared" si="2"/>
        <v>0</v>
      </c>
      <c r="G17" s="14" t="s">
        <v>67</v>
      </c>
      <c r="H17" s="14" t="s">
        <v>199</v>
      </c>
      <c r="I17" s="14" t="s">
        <v>370</v>
      </c>
      <c r="J17" s="14" t="s">
        <v>75</v>
      </c>
      <c r="K17" s="14">
        <f>0.5+0.5+1+1</f>
        <v>3</v>
      </c>
      <c r="L17" s="14" t="s">
        <v>70</v>
      </c>
      <c r="M17" s="14">
        <v>0.0</v>
      </c>
      <c r="N17" s="13">
        <f t="shared" si="3"/>
        <v>3</v>
      </c>
      <c r="O17" s="14" t="s">
        <v>167</v>
      </c>
    </row>
  </sheetData>
  <autoFilter ref="$A$2:$O$17">
    <sortState ref="A2:O17">
      <sortCondition descending="1" ref="N2:N17"/>
      <sortCondition ref="B2:B17"/>
      <sortCondition descending="1" ref="O2:O17"/>
      <sortCondition descending="1" ref="K2:K17"/>
      <sortCondition descending="1" ref="M2:M17"/>
    </sortState>
  </autoFilter>
  <mergeCells count="6">
    <mergeCell ref="A1:B1"/>
    <mergeCell ref="C1:D1"/>
    <mergeCell ref="E1:F1"/>
    <mergeCell ref="G1:K1"/>
    <mergeCell ref="L1:M1"/>
    <mergeCell ref="N1:O1"/>
  </mergeCells>
  <conditionalFormatting sqref="N3:O1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</cols>
  <sheetData>
    <row r="1" ht="23.25" customHeight="1">
      <c r="A1" s="15" t="s">
        <v>371</v>
      </c>
      <c r="B1" s="15" t="s">
        <v>372</v>
      </c>
      <c r="C1" s="15" t="s">
        <v>373</v>
      </c>
    </row>
    <row r="2">
      <c r="A2" s="16" t="s">
        <v>374</v>
      </c>
      <c r="B2" s="17">
        <v>46118.0</v>
      </c>
      <c r="C2" s="16" t="s">
        <v>375</v>
      </c>
    </row>
    <row r="3">
      <c r="A3" s="18" t="s">
        <v>376</v>
      </c>
      <c r="B3" s="17">
        <v>46012.0</v>
      </c>
      <c r="C3" s="16" t="s">
        <v>375</v>
      </c>
    </row>
    <row r="4">
      <c r="A4" s="18" t="s">
        <v>377</v>
      </c>
      <c r="B4" s="17">
        <v>45544.0</v>
      </c>
      <c r="C4" s="19" t="s">
        <v>378</v>
      </c>
    </row>
    <row r="5">
      <c r="A5" s="18" t="s">
        <v>379</v>
      </c>
      <c r="B5" s="17">
        <v>46012.0</v>
      </c>
      <c r="C5" s="16" t="s">
        <v>375</v>
      </c>
    </row>
    <row r="6">
      <c r="A6" s="18" t="s">
        <v>380</v>
      </c>
      <c r="B6" s="17">
        <v>46012.0</v>
      </c>
      <c r="C6" s="16" t="s">
        <v>375</v>
      </c>
    </row>
    <row r="7">
      <c r="A7" s="18" t="s">
        <v>381</v>
      </c>
      <c r="B7" s="17">
        <v>46012.0</v>
      </c>
      <c r="C7" s="16" t="s">
        <v>375</v>
      </c>
    </row>
    <row r="8">
      <c r="A8" s="18" t="s">
        <v>382</v>
      </c>
      <c r="B8" s="17">
        <v>46012.0</v>
      </c>
      <c r="C8" s="16" t="s">
        <v>375</v>
      </c>
    </row>
    <row r="9">
      <c r="A9" s="18" t="s">
        <v>383</v>
      </c>
      <c r="B9" s="17">
        <v>46012.0</v>
      </c>
      <c r="C9" s="16" t="s">
        <v>375</v>
      </c>
    </row>
    <row r="10">
      <c r="A10" s="18" t="s">
        <v>384</v>
      </c>
      <c r="B10" s="17">
        <v>46012.0</v>
      </c>
      <c r="C10" s="16" t="s">
        <v>375</v>
      </c>
    </row>
    <row r="11">
      <c r="A11" s="18" t="s">
        <v>385</v>
      </c>
      <c r="B11" s="17">
        <v>46012.0</v>
      </c>
      <c r="C11" s="16" t="s">
        <v>375</v>
      </c>
    </row>
    <row r="12">
      <c r="A12" s="20" t="s">
        <v>386</v>
      </c>
      <c r="B12" s="17">
        <v>46012.0</v>
      </c>
      <c r="C12" s="16" t="s">
        <v>375</v>
      </c>
    </row>
    <row r="13">
      <c r="A13" s="20" t="s">
        <v>387</v>
      </c>
      <c r="B13" s="17">
        <v>46012.0</v>
      </c>
      <c r="C13" s="16" t="s">
        <v>375</v>
      </c>
    </row>
    <row r="14">
      <c r="A14" s="20" t="s">
        <v>388</v>
      </c>
      <c r="B14" s="17">
        <v>46012.0</v>
      </c>
      <c r="C14" s="16" t="s">
        <v>375</v>
      </c>
    </row>
    <row r="15">
      <c r="A15" s="20" t="s">
        <v>389</v>
      </c>
      <c r="B15" s="17">
        <v>46012.0</v>
      </c>
      <c r="C15" s="16" t="s">
        <v>375</v>
      </c>
    </row>
    <row r="16">
      <c r="A16" s="20" t="s">
        <v>390</v>
      </c>
      <c r="B16" s="17">
        <v>46012.0</v>
      </c>
      <c r="C16" s="16" t="s">
        <v>375</v>
      </c>
    </row>
    <row r="17">
      <c r="A17" s="20" t="s">
        <v>391</v>
      </c>
      <c r="B17" s="17">
        <v>46012.0</v>
      </c>
      <c r="C17" s="16" t="s">
        <v>375</v>
      </c>
    </row>
    <row r="18">
      <c r="A18" s="20" t="s">
        <v>392</v>
      </c>
      <c r="B18" s="17">
        <v>46012.0</v>
      </c>
      <c r="C18" s="16" t="s">
        <v>375</v>
      </c>
    </row>
    <row r="19">
      <c r="A19" s="21" t="s">
        <v>393</v>
      </c>
      <c r="B19" s="17">
        <v>46012.0</v>
      </c>
      <c r="C19" s="16" t="s">
        <v>375</v>
      </c>
    </row>
    <row r="20">
      <c r="A20" s="21" t="s">
        <v>394</v>
      </c>
      <c r="B20" s="17">
        <v>46012.0</v>
      </c>
      <c r="C20" s="16" t="s">
        <v>375</v>
      </c>
    </row>
    <row r="21">
      <c r="A21" s="21" t="s">
        <v>395</v>
      </c>
      <c r="B21" s="17">
        <v>46012.0</v>
      </c>
      <c r="C21" s="16" t="s">
        <v>375</v>
      </c>
    </row>
    <row r="22">
      <c r="A22" s="21" t="s">
        <v>396</v>
      </c>
      <c r="B22" s="17">
        <v>46012.0</v>
      </c>
      <c r="C22" s="16" t="s">
        <v>375</v>
      </c>
    </row>
    <row r="23">
      <c r="A23" s="21" t="s">
        <v>397</v>
      </c>
      <c r="B23" s="17">
        <v>46012.0</v>
      </c>
      <c r="C23" s="16" t="s">
        <v>375</v>
      </c>
    </row>
    <row r="24">
      <c r="A24" s="18" t="s">
        <v>398</v>
      </c>
      <c r="B24" s="17">
        <v>46012.0</v>
      </c>
      <c r="C24" s="16" t="s">
        <v>375</v>
      </c>
    </row>
    <row r="25">
      <c r="A25" s="22" t="s">
        <v>399</v>
      </c>
      <c r="B25" s="17">
        <v>46012.0</v>
      </c>
      <c r="C25" s="16" t="s">
        <v>375</v>
      </c>
    </row>
    <row r="26">
      <c r="A26" s="22" t="s">
        <v>400</v>
      </c>
      <c r="B26" s="23" t="s">
        <v>401</v>
      </c>
      <c r="C26" s="19" t="s">
        <v>378</v>
      </c>
    </row>
    <row r="27">
      <c r="A27" s="24" t="s">
        <v>402</v>
      </c>
      <c r="B27" s="23" t="s">
        <v>401</v>
      </c>
      <c r="C27" s="19" t="s">
        <v>378</v>
      </c>
    </row>
    <row r="28">
      <c r="A28" s="25" t="s">
        <v>403</v>
      </c>
      <c r="B28" s="17">
        <v>46012.0</v>
      </c>
      <c r="C28" s="16" t="s">
        <v>375</v>
      </c>
    </row>
    <row r="29">
      <c r="A29" s="25" t="s">
        <v>404</v>
      </c>
      <c r="B29" s="17">
        <v>46012.0</v>
      </c>
      <c r="C29" s="16" t="s">
        <v>375</v>
      </c>
    </row>
    <row r="30">
      <c r="A30" s="25" t="s">
        <v>405</v>
      </c>
      <c r="B30" s="17">
        <v>46012.0</v>
      </c>
      <c r="C30" s="16" t="s">
        <v>375</v>
      </c>
    </row>
    <row r="31">
      <c r="A31" s="26" t="s">
        <v>406</v>
      </c>
      <c r="B31" s="17">
        <v>46015.0</v>
      </c>
      <c r="C31" s="16" t="s">
        <v>407</v>
      </c>
    </row>
    <row r="32">
      <c r="A32" s="26" t="s">
        <v>408</v>
      </c>
      <c r="B32" s="17">
        <v>46021.0</v>
      </c>
      <c r="C32" s="16" t="s">
        <v>375</v>
      </c>
    </row>
    <row r="33">
      <c r="A33" s="26" t="s">
        <v>409</v>
      </c>
      <c r="B33" s="17">
        <v>46029.0</v>
      </c>
      <c r="C33" s="16" t="s">
        <v>407</v>
      </c>
    </row>
    <row r="34">
      <c r="A34" s="27" t="s">
        <v>410</v>
      </c>
      <c r="B34" s="17">
        <v>46034.0</v>
      </c>
      <c r="C34" s="16" t="s">
        <v>407</v>
      </c>
    </row>
    <row r="35">
      <c r="A35" s="27" t="s">
        <v>411</v>
      </c>
      <c r="B35" s="23" t="s">
        <v>412</v>
      </c>
      <c r="C35" s="16" t="s">
        <v>375</v>
      </c>
    </row>
    <row r="36">
      <c r="A36" s="27" t="s">
        <v>413</v>
      </c>
      <c r="B36" s="23" t="s">
        <v>412</v>
      </c>
      <c r="C36" s="16" t="s">
        <v>375</v>
      </c>
    </row>
    <row r="37" ht="81.0" customHeight="1">
      <c r="A37" s="28" t="s">
        <v>414</v>
      </c>
    </row>
    <row r="38" ht="34.5" customHeight="1">
      <c r="A38" s="29" t="s">
        <v>415</v>
      </c>
    </row>
    <row r="39" ht="34.5" customHeight="1">
      <c r="A39" s="30" t="s">
        <v>416</v>
      </c>
    </row>
    <row r="40" ht="56.25" customHeight="1">
      <c r="A40" s="31" t="s">
        <v>417</v>
      </c>
    </row>
  </sheetData>
  <mergeCells count="4">
    <mergeCell ref="A37:C37"/>
    <mergeCell ref="A38:C38"/>
    <mergeCell ref="A39:C39"/>
    <mergeCell ref="A40:C40"/>
  </mergeCells>
  <conditionalFormatting sqref="C2:C36">
    <cfRule type="cellIs" dxfId="0" priority="1" operator="equal">
      <formula>"updated"</formula>
    </cfRule>
  </conditionalFormatting>
  <conditionalFormatting sqref="C2:C36">
    <cfRule type="cellIs" dxfId="1" priority="2" operator="equal">
      <formula>"in progress"</formula>
    </cfRule>
  </conditionalFormatting>
  <conditionalFormatting sqref="C2:C36">
    <cfRule type="notContainsBlanks" dxfId="2" priority="3">
      <formula>LEN(TRIM(C2))&gt;0</formula>
    </cfRule>
  </conditionalFormatting>
  <hyperlinks>
    <hyperlink r:id="rId1" location="gid=1038486120" ref="A38"/>
    <hyperlink r:id="rId2" ref="A39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3.38"/>
    <col customWidth="1" min="2" max="2" width="29.63"/>
    <col customWidth="1" min="3" max="4" width="5.13"/>
    <col customWidth="1" min="5" max="5" width="50.38"/>
  </cols>
  <sheetData>
    <row r="1">
      <c r="A1" s="32" t="s">
        <v>418</v>
      </c>
    </row>
    <row r="2">
      <c r="A2" s="33"/>
      <c r="B2" s="34" t="s">
        <v>54</v>
      </c>
      <c r="C2" s="35" t="s">
        <v>419</v>
      </c>
      <c r="D2" s="35" t="s">
        <v>420</v>
      </c>
      <c r="E2" s="34" t="s">
        <v>421</v>
      </c>
    </row>
    <row r="3">
      <c r="A3" s="33"/>
      <c r="B3" s="36" t="s">
        <v>422</v>
      </c>
      <c r="C3" s="37" t="s">
        <v>423</v>
      </c>
      <c r="D3" s="37" t="s">
        <v>92</v>
      </c>
      <c r="E3" s="37" t="s">
        <v>424</v>
      </c>
    </row>
    <row r="4">
      <c r="A4" s="33"/>
      <c r="B4" s="36" t="s">
        <v>425</v>
      </c>
      <c r="C4" s="37" t="s">
        <v>423</v>
      </c>
      <c r="D4" s="37" t="s">
        <v>120</v>
      </c>
      <c r="E4" s="37" t="s">
        <v>426</v>
      </c>
    </row>
    <row r="5">
      <c r="A5" s="33"/>
      <c r="B5" s="36" t="s">
        <v>427</v>
      </c>
      <c r="C5" s="37" t="s">
        <v>423</v>
      </c>
      <c r="D5" s="37" t="s">
        <v>167</v>
      </c>
      <c r="E5" s="37" t="s">
        <v>428</v>
      </c>
    </row>
    <row r="6">
      <c r="A6" s="32"/>
      <c r="B6" s="32"/>
      <c r="C6" s="38"/>
      <c r="D6" s="38"/>
      <c r="E6" s="32"/>
    </row>
    <row r="7">
      <c r="A7" s="32" t="s">
        <v>429</v>
      </c>
    </row>
    <row r="8">
      <c r="A8" s="32"/>
      <c r="B8" s="35" t="s">
        <v>54</v>
      </c>
      <c r="C8" s="35" t="s">
        <v>430</v>
      </c>
      <c r="D8" s="35" t="s">
        <v>419</v>
      </c>
      <c r="E8" s="35" t="s">
        <v>421</v>
      </c>
    </row>
    <row r="9">
      <c r="A9" s="32"/>
      <c r="B9" s="39" t="s">
        <v>431</v>
      </c>
      <c r="C9" s="40" t="s">
        <v>12</v>
      </c>
      <c r="D9" s="40" t="s">
        <v>71</v>
      </c>
      <c r="E9" s="37" t="s">
        <v>432</v>
      </c>
    </row>
    <row r="10">
      <c r="A10" s="32"/>
      <c r="B10" s="39" t="s">
        <v>433</v>
      </c>
      <c r="C10" s="40" t="s">
        <v>12</v>
      </c>
      <c r="D10" s="40" t="s">
        <v>92</v>
      </c>
      <c r="E10" s="37" t="s">
        <v>434</v>
      </c>
    </row>
    <row r="11">
      <c r="A11" s="32"/>
      <c r="B11" s="39" t="s">
        <v>435</v>
      </c>
      <c r="C11" s="40" t="s">
        <v>423</v>
      </c>
      <c r="D11" s="40" t="s">
        <v>120</v>
      </c>
      <c r="E11" s="37" t="s">
        <v>436</v>
      </c>
    </row>
    <row r="12">
      <c r="A12" s="32"/>
      <c r="B12" s="39" t="s">
        <v>437</v>
      </c>
      <c r="C12" s="40" t="s">
        <v>120</v>
      </c>
      <c r="D12" s="40" t="s">
        <v>92</v>
      </c>
      <c r="E12" s="37" t="s">
        <v>438</v>
      </c>
    </row>
    <row r="13">
      <c r="A13" s="32"/>
      <c r="B13" s="39" t="s">
        <v>127</v>
      </c>
      <c r="C13" s="40" t="s">
        <v>423</v>
      </c>
      <c r="D13" s="40" t="s">
        <v>167</v>
      </c>
      <c r="E13" s="37" t="s">
        <v>439</v>
      </c>
    </row>
    <row r="14">
      <c r="A14" s="32"/>
      <c r="B14" s="39" t="s">
        <v>440</v>
      </c>
      <c r="C14" s="40" t="s">
        <v>12</v>
      </c>
      <c r="D14" s="40" t="s">
        <v>12</v>
      </c>
      <c r="E14" s="37" t="s">
        <v>441</v>
      </c>
    </row>
    <row r="15">
      <c r="A15" s="32"/>
      <c r="B15" s="39" t="s">
        <v>442</v>
      </c>
      <c r="C15" s="40" t="s">
        <v>12</v>
      </c>
      <c r="D15" s="40" t="s">
        <v>92</v>
      </c>
      <c r="E15" s="37" t="s">
        <v>443</v>
      </c>
    </row>
    <row r="16">
      <c r="A16" s="32"/>
      <c r="B16" s="39" t="s">
        <v>444</v>
      </c>
      <c r="C16" s="40" t="s">
        <v>12</v>
      </c>
      <c r="D16" s="40" t="s">
        <v>71</v>
      </c>
      <c r="E16" s="37" t="s">
        <v>445</v>
      </c>
    </row>
    <row r="17">
      <c r="A17" s="32"/>
      <c r="B17" s="39" t="s">
        <v>446</v>
      </c>
      <c r="C17" s="40" t="s">
        <v>447</v>
      </c>
      <c r="D17" s="40" t="s">
        <v>71</v>
      </c>
      <c r="E17" s="37" t="s">
        <v>448</v>
      </c>
    </row>
    <row r="18">
      <c r="A18" s="32"/>
      <c r="B18" s="39" t="s">
        <v>449</v>
      </c>
      <c r="C18" s="40" t="s">
        <v>12</v>
      </c>
      <c r="D18" s="40" t="s">
        <v>71</v>
      </c>
      <c r="E18" s="37" t="s">
        <v>450</v>
      </c>
    </row>
    <row r="19">
      <c r="A19" s="32"/>
      <c r="B19" s="39" t="s">
        <v>451</v>
      </c>
      <c r="C19" s="40" t="s">
        <v>12</v>
      </c>
      <c r="D19" s="40" t="s">
        <v>71</v>
      </c>
      <c r="E19" s="37" t="s">
        <v>452</v>
      </c>
    </row>
    <row r="20">
      <c r="A20" s="32"/>
      <c r="B20" s="39" t="s">
        <v>453</v>
      </c>
      <c r="C20" s="40" t="s">
        <v>12</v>
      </c>
      <c r="D20" s="40" t="s">
        <v>12</v>
      </c>
      <c r="E20" s="37" t="s">
        <v>441</v>
      </c>
    </row>
    <row r="21">
      <c r="A21" s="32"/>
      <c r="B21" s="39" t="s">
        <v>454</v>
      </c>
      <c r="C21" s="40" t="s">
        <v>12</v>
      </c>
      <c r="D21" s="40" t="s">
        <v>71</v>
      </c>
      <c r="E21" s="37" t="s">
        <v>455</v>
      </c>
    </row>
    <row r="22">
      <c r="A22" s="32"/>
      <c r="B22" s="39" t="s">
        <v>456</v>
      </c>
      <c r="C22" s="40" t="s">
        <v>12</v>
      </c>
      <c r="D22" s="40" t="s">
        <v>12</v>
      </c>
      <c r="E22" s="37" t="s">
        <v>441</v>
      </c>
    </row>
    <row r="23">
      <c r="A23" s="32"/>
      <c r="B23" s="39" t="s">
        <v>457</v>
      </c>
      <c r="C23" s="40" t="s">
        <v>12</v>
      </c>
      <c r="D23" s="40" t="s">
        <v>92</v>
      </c>
      <c r="E23" s="37" t="s">
        <v>458</v>
      </c>
    </row>
    <row r="24">
      <c r="A24" s="32"/>
      <c r="B24" s="39" t="s">
        <v>459</v>
      </c>
      <c r="C24" s="40" t="s">
        <v>120</v>
      </c>
      <c r="D24" s="40" t="s">
        <v>92</v>
      </c>
      <c r="E24" s="37" t="s">
        <v>460</v>
      </c>
    </row>
    <row r="25">
      <c r="A25" s="32"/>
      <c r="B25" s="39" t="s">
        <v>461</v>
      </c>
      <c r="C25" s="40" t="s">
        <v>12</v>
      </c>
      <c r="D25" s="40" t="s">
        <v>136</v>
      </c>
      <c r="E25" s="37" t="s">
        <v>462</v>
      </c>
    </row>
    <row r="26">
      <c r="A26" s="32"/>
      <c r="B26" s="39" t="s">
        <v>463</v>
      </c>
      <c r="C26" s="40" t="s">
        <v>12</v>
      </c>
      <c r="D26" s="40" t="s">
        <v>136</v>
      </c>
      <c r="E26" s="37" t="s">
        <v>464</v>
      </c>
    </row>
    <row r="27">
      <c r="A27" s="32"/>
      <c r="B27" s="39" t="s">
        <v>465</v>
      </c>
      <c r="C27" s="40" t="s">
        <v>12</v>
      </c>
      <c r="D27" s="40" t="s">
        <v>136</v>
      </c>
      <c r="E27" s="37" t="s">
        <v>466</v>
      </c>
    </row>
    <row r="28">
      <c r="A28" s="32"/>
      <c r="B28" s="39" t="s">
        <v>467</v>
      </c>
      <c r="C28" s="40" t="s">
        <v>12</v>
      </c>
      <c r="D28" s="40" t="s">
        <v>71</v>
      </c>
      <c r="E28" s="37" t="s">
        <v>468</v>
      </c>
    </row>
    <row r="29">
      <c r="A29" s="32"/>
      <c r="B29" s="39" t="s">
        <v>469</v>
      </c>
      <c r="C29" s="40" t="s">
        <v>12</v>
      </c>
      <c r="D29" s="40" t="s">
        <v>12</v>
      </c>
      <c r="E29" s="37" t="s">
        <v>441</v>
      </c>
    </row>
    <row r="30">
      <c r="A30" s="32"/>
      <c r="B30" s="39" t="s">
        <v>470</v>
      </c>
      <c r="C30" s="40" t="s">
        <v>12</v>
      </c>
      <c r="D30" s="40" t="s">
        <v>71</v>
      </c>
      <c r="E30" s="37" t="s">
        <v>471</v>
      </c>
    </row>
    <row r="31">
      <c r="A31" s="32"/>
      <c r="B31" s="39" t="s">
        <v>472</v>
      </c>
      <c r="C31" s="40" t="s">
        <v>12</v>
      </c>
      <c r="D31" s="40" t="s">
        <v>71</v>
      </c>
      <c r="E31" s="37" t="s">
        <v>473</v>
      </c>
    </row>
    <row r="32">
      <c r="A32" s="32"/>
      <c r="B32" s="39" t="s">
        <v>474</v>
      </c>
      <c r="C32" s="40" t="s">
        <v>12</v>
      </c>
      <c r="D32" s="40" t="s">
        <v>71</v>
      </c>
      <c r="E32" s="37" t="s">
        <v>475</v>
      </c>
    </row>
    <row r="33">
      <c r="A33" s="32"/>
      <c r="B33" s="39" t="s">
        <v>476</v>
      </c>
      <c r="C33" s="40" t="s">
        <v>12</v>
      </c>
      <c r="D33" s="40" t="s">
        <v>92</v>
      </c>
      <c r="E33" s="37" t="s">
        <v>477</v>
      </c>
    </row>
    <row r="34">
      <c r="A34" s="32"/>
      <c r="B34" s="39" t="s">
        <v>478</v>
      </c>
      <c r="C34" s="40" t="s">
        <v>12</v>
      </c>
      <c r="D34" s="40" t="s">
        <v>120</v>
      </c>
      <c r="E34" s="37" t="s">
        <v>479</v>
      </c>
    </row>
    <row r="35">
      <c r="A35" s="32"/>
      <c r="B35" s="41" t="s">
        <v>480</v>
      </c>
      <c r="C35" s="40" t="s">
        <v>12</v>
      </c>
      <c r="D35" s="40" t="s">
        <v>71</v>
      </c>
      <c r="E35" s="37" t="s">
        <v>481</v>
      </c>
    </row>
    <row r="36">
      <c r="A36" s="32"/>
      <c r="B36" s="41" t="s">
        <v>482</v>
      </c>
      <c r="C36" s="40" t="s">
        <v>12</v>
      </c>
      <c r="D36" s="40" t="s">
        <v>71</v>
      </c>
      <c r="E36" s="37" t="s">
        <v>483</v>
      </c>
    </row>
    <row r="37">
      <c r="A37" s="32"/>
      <c r="B37" s="41" t="s">
        <v>484</v>
      </c>
      <c r="C37" s="40" t="s">
        <v>12</v>
      </c>
      <c r="D37" s="40" t="s">
        <v>71</v>
      </c>
      <c r="E37" s="37" t="s">
        <v>485</v>
      </c>
    </row>
    <row r="38">
      <c r="A38" s="32"/>
      <c r="B38" s="41" t="s">
        <v>486</v>
      </c>
      <c r="C38" s="40" t="s">
        <v>12</v>
      </c>
      <c r="D38" s="40" t="s">
        <v>71</v>
      </c>
      <c r="E38" s="37" t="s">
        <v>487</v>
      </c>
    </row>
    <row r="39">
      <c r="A39" s="32"/>
      <c r="B39" s="41" t="s">
        <v>488</v>
      </c>
      <c r="C39" s="40" t="s">
        <v>12</v>
      </c>
      <c r="D39" s="40" t="s">
        <v>136</v>
      </c>
      <c r="E39" s="37" t="s">
        <v>489</v>
      </c>
    </row>
    <row r="40">
      <c r="A40" s="32"/>
      <c r="B40" s="41" t="s">
        <v>490</v>
      </c>
      <c r="C40" s="40" t="s">
        <v>12</v>
      </c>
      <c r="D40" s="40" t="s">
        <v>92</v>
      </c>
      <c r="E40" s="37" t="s">
        <v>491</v>
      </c>
    </row>
    <row r="41">
      <c r="A41" s="32"/>
      <c r="B41" s="41" t="s">
        <v>271</v>
      </c>
      <c r="C41" s="40" t="s">
        <v>71</v>
      </c>
      <c r="D41" s="40" t="s">
        <v>71</v>
      </c>
      <c r="E41" s="37" t="s">
        <v>492</v>
      </c>
    </row>
    <row r="42">
      <c r="A42" s="32"/>
      <c r="B42" s="41" t="s">
        <v>493</v>
      </c>
      <c r="C42" s="40" t="s">
        <v>12</v>
      </c>
      <c r="D42" s="40" t="s">
        <v>120</v>
      </c>
      <c r="E42" s="37" t="s">
        <v>494</v>
      </c>
    </row>
    <row r="43">
      <c r="A43" s="32"/>
      <c r="B43" s="41" t="s">
        <v>495</v>
      </c>
      <c r="C43" s="40" t="s">
        <v>423</v>
      </c>
      <c r="D43" s="40" t="s">
        <v>120</v>
      </c>
      <c r="E43" s="37" t="s">
        <v>496</v>
      </c>
    </row>
    <row r="44">
      <c r="A44" s="32"/>
      <c r="B44" s="41" t="s">
        <v>497</v>
      </c>
      <c r="C44" s="40" t="s">
        <v>12</v>
      </c>
      <c r="D44" s="40" t="s">
        <v>71</v>
      </c>
      <c r="E44" s="37" t="s">
        <v>498</v>
      </c>
    </row>
    <row r="45">
      <c r="A45" s="32"/>
      <c r="B45" s="41" t="s">
        <v>499</v>
      </c>
      <c r="C45" s="40" t="s">
        <v>12</v>
      </c>
      <c r="D45" s="40" t="s">
        <v>92</v>
      </c>
      <c r="E45" s="37" t="s">
        <v>500</v>
      </c>
    </row>
    <row r="46">
      <c r="A46" s="32"/>
      <c r="B46" s="41" t="s">
        <v>501</v>
      </c>
      <c r="C46" s="40" t="s">
        <v>12</v>
      </c>
      <c r="D46" s="40" t="s">
        <v>92</v>
      </c>
      <c r="E46" s="37" t="s">
        <v>502</v>
      </c>
    </row>
    <row r="47">
      <c r="A47" s="32"/>
      <c r="B47" s="41" t="s">
        <v>503</v>
      </c>
      <c r="C47" s="40" t="s">
        <v>12</v>
      </c>
      <c r="D47" s="40" t="s">
        <v>92</v>
      </c>
      <c r="E47" s="37" t="s">
        <v>504</v>
      </c>
    </row>
    <row r="48">
      <c r="A48" s="32"/>
      <c r="B48" s="41" t="s">
        <v>505</v>
      </c>
      <c r="C48" s="40" t="s">
        <v>12</v>
      </c>
      <c r="D48" s="40" t="s">
        <v>92</v>
      </c>
      <c r="E48" s="37" t="s">
        <v>506</v>
      </c>
    </row>
    <row r="49">
      <c r="A49" s="32"/>
      <c r="B49" s="41" t="s">
        <v>507</v>
      </c>
      <c r="C49" s="40" t="s">
        <v>12</v>
      </c>
      <c r="D49" s="40" t="s">
        <v>71</v>
      </c>
      <c r="E49" s="37" t="s">
        <v>508</v>
      </c>
    </row>
    <row r="50">
      <c r="A50" s="32"/>
      <c r="B50" s="41" t="s">
        <v>509</v>
      </c>
      <c r="C50" s="40" t="s">
        <v>12</v>
      </c>
      <c r="D50" s="40" t="s">
        <v>92</v>
      </c>
      <c r="E50" s="37" t="s">
        <v>510</v>
      </c>
    </row>
    <row r="51">
      <c r="A51" s="32"/>
      <c r="B51" s="41" t="s">
        <v>511</v>
      </c>
      <c r="C51" s="40" t="s">
        <v>71</v>
      </c>
      <c r="D51" s="40" t="s">
        <v>71</v>
      </c>
      <c r="E51" s="37" t="s">
        <v>512</v>
      </c>
    </row>
    <row r="52">
      <c r="A52" s="32"/>
      <c r="B52" s="41" t="s">
        <v>513</v>
      </c>
      <c r="C52" s="40" t="s">
        <v>12</v>
      </c>
      <c r="D52" s="40" t="s">
        <v>136</v>
      </c>
      <c r="E52" s="37" t="s">
        <v>514</v>
      </c>
    </row>
    <row r="53">
      <c r="A53" s="32"/>
      <c r="B53" s="41" t="s">
        <v>515</v>
      </c>
      <c r="C53" s="40" t="s">
        <v>71</v>
      </c>
      <c r="D53" s="40" t="s">
        <v>92</v>
      </c>
      <c r="E53" s="37" t="s">
        <v>516</v>
      </c>
    </row>
    <row r="54">
      <c r="A54" s="32"/>
      <c r="B54" s="42" t="s">
        <v>517</v>
      </c>
      <c r="C54" s="40" t="s">
        <v>71</v>
      </c>
      <c r="D54" s="40" t="s">
        <v>120</v>
      </c>
      <c r="E54" s="37" t="s">
        <v>518</v>
      </c>
    </row>
    <row r="55">
      <c r="A55" s="32"/>
      <c r="B55" s="41"/>
      <c r="C55" s="40"/>
      <c r="D55" s="40"/>
      <c r="E55" s="37"/>
    </row>
    <row r="56">
      <c r="A56" s="32"/>
      <c r="B56" s="32"/>
      <c r="C56" s="32"/>
      <c r="D56" s="32"/>
      <c r="E56" s="32"/>
    </row>
    <row r="57">
      <c r="A57" s="32" t="s">
        <v>519</v>
      </c>
    </row>
    <row r="58">
      <c r="A58" s="32"/>
      <c r="B58" s="35" t="s">
        <v>54</v>
      </c>
      <c r="C58" s="35" t="s">
        <v>520</v>
      </c>
      <c r="D58" s="35" t="s">
        <v>430</v>
      </c>
      <c r="E58" s="35" t="s">
        <v>421</v>
      </c>
    </row>
    <row r="59">
      <c r="A59" s="32"/>
      <c r="B59" s="40" t="s">
        <v>521</v>
      </c>
      <c r="C59" s="40" t="s">
        <v>120</v>
      </c>
      <c r="D59" s="40" t="s">
        <v>120</v>
      </c>
      <c r="E59" s="37" t="s">
        <v>522</v>
      </c>
    </row>
    <row r="60">
      <c r="A60" s="32"/>
      <c r="B60" s="40" t="s">
        <v>314</v>
      </c>
      <c r="C60" s="40" t="s">
        <v>167</v>
      </c>
      <c r="D60" s="40" t="s">
        <v>120</v>
      </c>
      <c r="E60" s="37" t="s">
        <v>523</v>
      </c>
    </row>
    <row r="61">
      <c r="A61" s="32"/>
      <c r="B61" s="40" t="s">
        <v>515</v>
      </c>
      <c r="C61" s="40" t="s">
        <v>12</v>
      </c>
      <c r="D61" s="40" t="s">
        <v>71</v>
      </c>
      <c r="E61" s="37" t="s">
        <v>524</v>
      </c>
    </row>
    <row r="62">
      <c r="A62" s="32"/>
      <c r="B62" s="40" t="s">
        <v>525</v>
      </c>
      <c r="C62" s="40" t="s">
        <v>12</v>
      </c>
      <c r="D62" s="40" t="s">
        <v>71</v>
      </c>
      <c r="E62" s="37" t="s">
        <v>526</v>
      </c>
    </row>
    <row r="63">
      <c r="A63" s="32"/>
      <c r="B63" s="40" t="s">
        <v>527</v>
      </c>
      <c r="C63" s="40" t="s">
        <v>12</v>
      </c>
      <c r="D63" s="40" t="s">
        <v>92</v>
      </c>
      <c r="E63" s="37" t="s">
        <v>528</v>
      </c>
    </row>
    <row r="64">
      <c r="A64" s="32"/>
      <c r="B64" s="40" t="s">
        <v>529</v>
      </c>
      <c r="C64" s="40" t="s">
        <v>447</v>
      </c>
      <c r="D64" s="40" t="s">
        <v>167</v>
      </c>
      <c r="E64" s="37" t="s">
        <v>530</v>
      </c>
    </row>
    <row r="65">
      <c r="A65" s="32"/>
      <c r="B65" s="40" t="s">
        <v>531</v>
      </c>
      <c r="C65" s="40" t="s">
        <v>12</v>
      </c>
      <c r="D65" s="40" t="s">
        <v>120</v>
      </c>
      <c r="E65" s="37" t="s">
        <v>532</v>
      </c>
    </row>
    <row r="66">
      <c r="A66" s="32"/>
      <c r="B66" s="40" t="s">
        <v>533</v>
      </c>
      <c r="C66" s="40" t="s">
        <v>12</v>
      </c>
      <c r="D66" s="40" t="s">
        <v>92</v>
      </c>
      <c r="E66" s="37" t="s">
        <v>534</v>
      </c>
    </row>
    <row r="67">
      <c r="A67" s="32"/>
      <c r="B67" s="40" t="s">
        <v>535</v>
      </c>
      <c r="C67" s="40" t="s">
        <v>12</v>
      </c>
      <c r="D67" s="40" t="s">
        <v>92</v>
      </c>
      <c r="E67" s="37" t="s">
        <v>536</v>
      </c>
    </row>
    <row r="68">
      <c r="A68" s="32"/>
      <c r="B68" s="40" t="s">
        <v>517</v>
      </c>
      <c r="C68" s="40" t="s">
        <v>12</v>
      </c>
      <c r="D68" s="40" t="s">
        <v>92</v>
      </c>
      <c r="E68" s="37" t="s">
        <v>537</v>
      </c>
    </row>
    <row r="69">
      <c r="A69" s="32"/>
      <c r="B69" s="40" t="s">
        <v>538</v>
      </c>
      <c r="C69" s="40" t="s">
        <v>12</v>
      </c>
      <c r="D69" s="40" t="s">
        <v>120</v>
      </c>
      <c r="E69" s="37" t="s">
        <v>539</v>
      </c>
    </row>
    <row r="70">
      <c r="A70" s="32"/>
      <c r="B70" s="40" t="s">
        <v>540</v>
      </c>
      <c r="C70" s="40" t="s">
        <v>12</v>
      </c>
      <c r="D70" s="40" t="s">
        <v>120</v>
      </c>
      <c r="E70" s="37" t="s">
        <v>541</v>
      </c>
    </row>
    <row r="71">
      <c r="A71" s="32"/>
      <c r="B71" s="40" t="s">
        <v>542</v>
      </c>
      <c r="C71" s="40" t="s">
        <v>12</v>
      </c>
      <c r="D71" s="40" t="s">
        <v>71</v>
      </c>
      <c r="E71" s="37" t="s">
        <v>543</v>
      </c>
    </row>
    <row r="72">
      <c r="A72" s="32"/>
      <c r="B72" s="40" t="s">
        <v>544</v>
      </c>
      <c r="C72" s="40" t="s">
        <v>12</v>
      </c>
      <c r="D72" s="40" t="s">
        <v>92</v>
      </c>
      <c r="E72" s="37" t="s">
        <v>545</v>
      </c>
    </row>
    <row r="73">
      <c r="A73" s="32"/>
      <c r="B73" s="40" t="s">
        <v>546</v>
      </c>
      <c r="C73" s="40" t="s">
        <v>12</v>
      </c>
      <c r="D73" s="40" t="s">
        <v>120</v>
      </c>
      <c r="E73" s="37" t="s">
        <v>547</v>
      </c>
    </row>
    <row r="74">
      <c r="A74" s="32"/>
      <c r="B74" s="40" t="s">
        <v>548</v>
      </c>
      <c r="C74" s="40" t="s">
        <v>12</v>
      </c>
      <c r="D74" s="40" t="s">
        <v>120</v>
      </c>
      <c r="E74" s="37" t="s">
        <v>549</v>
      </c>
    </row>
    <row r="75">
      <c r="A75" s="32"/>
      <c r="B75" s="40" t="s">
        <v>550</v>
      </c>
      <c r="C75" s="40" t="s">
        <v>12</v>
      </c>
      <c r="D75" s="40" t="s">
        <v>12</v>
      </c>
      <c r="E75" s="37" t="s">
        <v>551</v>
      </c>
    </row>
    <row r="76">
      <c r="A76" s="32"/>
      <c r="B76" s="40" t="s">
        <v>552</v>
      </c>
      <c r="C76" s="40" t="s">
        <v>12</v>
      </c>
      <c r="D76" s="40" t="s">
        <v>71</v>
      </c>
      <c r="E76" s="37" t="s">
        <v>553</v>
      </c>
    </row>
    <row r="77">
      <c r="A77" s="32"/>
      <c r="B77" s="40" t="s">
        <v>554</v>
      </c>
      <c r="C77" s="40" t="s">
        <v>12</v>
      </c>
      <c r="D77" s="40" t="s">
        <v>92</v>
      </c>
      <c r="E77" s="37" t="s">
        <v>555</v>
      </c>
    </row>
    <row r="78">
      <c r="A78" s="32"/>
      <c r="B78" s="40" t="s">
        <v>556</v>
      </c>
      <c r="C78" s="40" t="s">
        <v>120</v>
      </c>
      <c r="D78" s="40" t="s">
        <v>136</v>
      </c>
      <c r="E78" s="37" t="s">
        <v>557</v>
      </c>
    </row>
    <row r="79">
      <c r="A79" s="32"/>
      <c r="B79" s="40" t="s">
        <v>558</v>
      </c>
      <c r="C79" s="40" t="s">
        <v>12</v>
      </c>
      <c r="D79" s="40" t="s">
        <v>120</v>
      </c>
      <c r="E79" s="37" t="s">
        <v>559</v>
      </c>
    </row>
    <row r="80">
      <c r="A80" s="32"/>
      <c r="B80" s="40" t="s">
        <v>560</v>
      </c>
      <c r="C80" s="40" t="s">
        <v>12</v>
      </c>
      <c r="D80" s="40" t="s">
        <v>71</v>
      </c>
      <c r="E80" s="37" t="s">
        <v>561</v>
      </c>
    </row>
    <row r="81">
      <c r="A81" s="32"/>
      <c r="B81" s="43" t="s">
        <v>562</v>
      </c>
      <c r="C81" s="40" t="s">
        <v>12</v>
      </c>
      <c r="D81" s="40" t="s">
        <v>120</v>
      </c>
      <c r="E81" s="37" t="s">
        <v>563</v>
      </c>
    </row>
    <row r="82">
      <c r="A82" s="32"/>
      <c r="B82" s="40" t="s">
        <v>564</v>
      </c>
      <c r="C82" s="40" t="s">
        <v>12</v>
      </c>
      <c r="D82" s="40" t="s">
        <v>120</v>
      </c>
      <c r="E82" s="37" t="s">
        <v>565</v>
      </c>
    </row>
    <row r="83">
      <c r="A83" s="32"/>
      <c r="B83" s="43" t="s">
        <v>566</v>
      </c>
      <c r="C83" s="40" t="s">
        <v>12</v>
      </c>
      <c r="D83" s="40" t="s">
        <v>136</v>
      </c>
      <c r="E83" s="37" t="s">
        <v>567</v>
      </c>
    </row>
    <row r="84">
      <c r="A84" s="32"/>
      <c r="B84" s="43" t="s">
        <v>568</v>
      </c>
      <c r="C84" s="40" t="s">
        <v>12</v>
      </c>
      <c r="D84" s="40" t="s">
        <v>136</v>
      </c>
      <c r="E84" s="37" t="s">
        <v>569</v>
      </c>
    </row>
    <row r="85">
      <c r="A85" s="32"/>
      <c r="B85" s="40" t="s">
        <v>570</v>
      </c>
      <c r="C85" s="40" t="s">
        <v>12</v>
      </c>
      <c r="D85" s="40" t="s">
        <v>167</v>
      </c>
      <c r="E85" s="37" t="s">
        <v>571</v>
      </c>
    </row>
    <row r="86">
      <c r="A86" s="32"/>
      <c r="B86" s="43" t="s">
        <v>572</v>
      </c>
      <c r="C86" s="40" t="s">
        <v>12</v>
      </c>
      <c r="D86" s="40" t="s">
        <v>120</v>
      </c>
      <c r="E86" s="37" t="s">
        <v>573</v>
      </c>
    </row>
    <row r="87">
      <c r="A87" s="32"/>
      <c r="B87" s="32"/>
      <c r="C87" s="32"/>
      <c r="D87" s="32"/>
      <c r="E87" s="32"/>
    </row>
    <row r="88">
      <c r="A88" s="32" t="s">
        <v>574</v>
      </c>
    </row>
    <row r="89">
      <c r="A89" s="44"/>
      <c r="B89" s="45" t="s">
        <v>54</v>
      </c>
      <c r="C89" s="35" t="s">
        <v>575</v>
      </c>
      <c r="D89" s="35" t="s">
        <v>520</v>
      </c>
      <c r="E89" s="46" t="s">
        <v>421</v>
      </c>
    </row>
    <row r="90">
      <c r="A90" s="44"/>
      <c r="B90" s="40" t="s">
        <v>576</v>
      </c>
      <c r="C90" s="40" t="s">
        <v>12</v>
      </c>
      <c r="D90" s="40" t="s">
        <v>120</v>
      </c>
      <c r="E90" s="37" t="s">
        <v>577</v>
      </c>
    </row>
    <row r="91">
      <c r="A91" s="44"/>
      <c r="B91" s="40" t="s">
        <v>578</v>
      </c>
      <c r="C91" s="40" t="s">
        <v>12</v>
      </c>
      <c r="D91" s="40" t="s">
        <v>120</v>
      </c>
      <c r="E91" s="37" t="s">
        <v>579</v>
      </c>
    </row>
    <row r="92">
      <c r="A92" s="44"/>
      <c r="B92" s="40" t="s">
        <v>580</v>
      </c>
      <c r="C92" s="40" t="s">
        <v>12</v>
      </c>
      <c r="D92" s="40" t="s">
        <v>136</v>
      </c>
      <c r="E92" s="37" t="s">
        <v>581</v>
      </c>
    </row>
    <row r="93">
      <c r="A93" s="44"/>
      <c r="B93" s="40" t="s">
        <v>582</v>
      </c>
      <c r="C93" s="40" t="s">
        <v>12</v>
      </c>
      <c r="D93" s="40" t="s">
        <v>136</v>
      </c>
      <c r="E93" s="37" t="s">
        <v>583</v>
      </c>
    </row>
    <row r="94">
      <c r="A94" s="44"/>
      <c r="B94" s="40" t="s">
        <v>584</v>
      </c>
      <c r="C94" s="40" t="s">
        <v>120</v>
      </c>
      <c r="D94" s="40" t="s">
        <v>92</v>
      </c>
      <c r="E94" s="37" t="s">
        <v>585</v>
      </c>
    </row>
    <row r="95">
      <c r="A95" s="44"/>
      <c r="B95" s="40" t="s">
        <v>586</v>
      </c>
      <c r="C95" s="40" t="s">
        <v>92</v>
      </c>
      <c r="D95" s="40" t="s">
        <v>92</v>
      </c>
      <c r="E95" s="37" t="s">
        <v>587</v>
      </c>
    </row>
    <row r="96">
      <c r="A96" s="44"/>
      <c r="B96" s="40" t="s">
        <v>588</v>
      </c>
      <c r="C96" s="40" t="s">
        <v>12</v>
      </c>
      <c r="D96" s="40" t="s">
        <v>92</v>
      </c>
      <c r="E96" s="37" t="s">
        <v>589</v>
      </c>
    </row>
    <row r="97">
      <c r="A97" s="44"/>
      <c r="B97" s="40" t="s">
        <v>590</v>
      </c>
      <c r="C97" s="40" t="s">
        <v>12</v>
      </c>
      <c r="D97" s="40" t="s">
        <v>71</v>
      </c>
      <c r="E97" s="37" t="s">
        <v>591</v>
      </c>
    </row>
    <row r="98">
      <c r="A98" s="44"/>
      <c r="B98" s="40" t="s">
        <v>592</v>
      </c>
      <c r="C98" s="40" t="s">
        <v>12</v>
      </c>
      <c r="D98" s="40" t="s">
        <v>92</v>
      </c>
      <c r="E98" s="37" t="s">
        <v>593</v>
      </c>
    </row>
    <row r="99">
      <c r="A99" s="44"/>
      <c r="B99" s="40" t="s">
        <v>594</v>
      </c>
      <c r="C99" s="40" t="s">
        <v>12</v>
      </c>
      <c r="D99" s="40" t="s">
        <v>92</v>
      </c>
      <c r="E99" s="37" t="s">
        <v>595</v>
      </c>
    </row>
    <row r="100">
      <c r="A100" s="44"/>
      <c r="B100" s="40" t="s">
        <v>459</v>
      </c>
      <c r="C100" s="40" t="s">
        <v>12</v>
      </c>
      <c r="D100" s="40" t="s">
        <v>120</v>
      </c>
      <c r="E100" s="37" t="s">
        <v>596</v>
      </c>
    </row>
    <row r="101">
      <c r="A101" s="44"/>
      <c r="B101" s="40" t="s">
        <v>597</v>
      </c>
      <c r="C101" s="40" t="s">
        <v>447</v>
      </c>
      <c r="D101" s="40" t="s">
        <v>92</v>
      </c>
      <c r="E101" s="37" t="s">
        <v>598</v>
      </c>
    </row>
    <row r="102">
      <c r="A102" s="44"/>
      <c r="B102" s="40" t="s">
        <v>599</v>
      </c>
      <c r="C102" s="40" t="s">
        <v>12</v>
      </c>
      <c r="D102" s="40" t="s">
        <v>167</v>
      </c>
      <c r="E102" s="37" t="s">
        <v>600</v>
      </c>
    </row>
    <row r="103">
      <c r="A103" s="44"/>
      <c r="B103" s="40" t="s">
        <v>601</v>
      </c>
      <c r="C103" s="40" t="s">
        <v>12</v>
      </c>
      <c r="D103" s="40" t="s">
        <v>71</v>
      </c>
      <c r="E103" s="37" t="s">
        <v>602</v>
      </c>
    </row>
    <row r="104">
      <c r="A104" s="44"/>
      <c r="B104" s="40" t="s">
        <v>603</v>
      </c>
      <c r="C104" s="40" t="s">
        <v>12</v>
      </c>
      <c r="D104" s="40" t="s">
        <v>120</v>
      </c>
      <c r="E104" s="37" t="s">
        <v>604</v>
      </c>
    </row>
    <row r="105">
      <c r="A105" s="44"/>
      <c r="B105" s="40" t="s">
        <v>605</v>
      </c>
      <c r="C105" s="40" t="s">
        <v>12</v>
      </c>
      <c r="D105" s="40" t="s">
        <v>120</v>
      </c>
      <c r="E105" s="37" t="s">
        <v>606</v>
      </c>
    </row>
    <row r="106">
      <c r="A106" s="44"/>
      <c r="B106" s="40" t="s">
        <v>607</v>
      </c>
      <c r="C106" s="40" t="s">
        <v>12</v>
      </c>
      <c r="D106" s="40" t="s">
        <v>92</v>
      </c>
      <c r="E106" s="37" t="s">
        <v>608</v>
      </c>
    </row>
    <row r="107">
      <c r="A107" s="44"/>
      <c r="B107" s="40" t="s">
        <v>609</v>
      </c>
      <c r="C107" s="40" t="s">
        <v>12</v>
      </c>
      <c r="D107" s="40" t="s">
        <v>120</v>
      </c>
      <c r="E107" s="37" t="s">
        <v>610</v>
      </c>
    </row>
    <row r="108">
      <c r="A108" s="44"/>
      <c r="B108" s="40" t="s">
        <v>611</v>
      </c>
      <c r="C108" s="40" t="s">
        <v>12</v>
      </c>
      <c r="D108" s="40" t="s">
        <v>71</v>
      </c>
      <c r="E108" s="37" t="s">
        <v>612</v>
      </c>
    </row>
    <row r="109">
      <c r="A109" s="44"/>
      <c r="B109" s="40" t="s">
        <v>613</v>
      </c>
      <c r="C109" s="40" t="s">
        <v>12</v>
      </c>
      <c r="D109" s="40" t="s">
        <v>92</v>
      </c>
      <c r="E109" s="37" t="s">
        <v>614</v>
      </c>
    </row>
    <row r="110">
      <c r="A110" s="44"/>
      <c r="B110" s="40" t="s">
        <v>615</v>
      </c>
      <c r="C110" s="40" t="s">
        <v>12</v>
      </c>
      <c r="D110" s="40" t="s">
        <v>136</v>
      </c>
      <c r="E110" s="37" t="s">
        <v>616</v>
      </c>
    </row>
    <row r="111">
      <c r="A111" s="44"/>
      <c r="B111" s="40" t="s">
        <v>617</v>
      </c>
      <c r="C111" s="40" t="s">
        <v>12</v>
      </c>
      <c r="D111" s="40" t="s">
        <v>71</v>
      </c>
      <c r="E111" s="37" t="s">
        <v>618</v>
      </c>
    </row>
    <row r="112">
      <c r="A112" s="44"/>
      <c r="B112" s="40" t="s">
        <v>619</v>
      </c>
      <c r="C112" s="40" t="s">
        <v>12</v>
      </c>
      <c r="D112" s="40" t="s">
        <v>71</v>
      </c>
      <c r="E112" s="37" t="s">
        <v>620</v>
      </c>
    </row>
    <row r="113">
      <c r="A113" s="44"/>
      <c r="B113" s="40" t="s">
        <v>621</v>
      </c>
      <c r="C113" s="40" t="s">
        <v>12</v>
      </c>
      <c r="D113" s="40" t="s">
        <v>71</v>
      </c>
      <c r="E113" s="37" t="s">
        <v>622</v>
      </c>
    </row>
    <row r="114">
      <c r="A114" s="44"/>
      <c r="B114" s="40" t="s">
        <v>623</v>
      </c>
      <c r="C114" s="40" t="s">
        <v>12</v>
      </c>
      <c r="D114" s="40" t="s">
        <v>71</v>
      </c>
      <c r="E114" s="37" t="s">
        <v>624</v>
      </c>
    </row>
    <row r="115">
      <c r="A115" s="44"/>
      <c r="B115" s="40" t="s">
        <v>625</v>
      </c>
      <c r="C115" s="40" t="s">
        <v>12</v>
      </c>
      <c r="D115" s="40" t="s">
        <v>92</v>
      </c>
      <c r="E115" s="37" t="s">
        <v>626</v>
      </c>
    </row>
    <row r="116">
      <c r="A116" s="44"/>
      <c r="B116" s="40" t="s">
        <v>627</v>
      </c>
      <c r="C116" s="40" t="s">
        <v>12</v>
      </c>
      <c r="D116" s="40" t="s">
        <v>120</v>
      </c>
      <c r="E116" s="37" t="s">
        <v>628</v>
      </c>
    </row>
    <row r="117">
      <c r="A117" s="44"/>
      <c r="B117" s="40" t="s">
        <v>629</v>
      </c>
      <c r="C117" s="40" t="s">
        <v>12</v>
      </c>
      <c r="D117" s="40" t="s">
        <v>136</v>
      </c>
      <c r="E117" s="37" t="s">
        <v>630</v>
      </c>
    </row>
    <row r="118">
      <c r="A118" s="44"/>
      <c r="B118" s="40" t="s">
        <v>631</v>
      </c>
      <c r="C118" s="40" t="s">
        <v>12</v>
      </c>
      <c r="D118" s="40" t="s">
        <v>71</v>
      </c>
      <c r="E118" s="37" t="s">
        <v>632</v>
      </c>
    </row>
    <row r="119">
      <c r="A119" s="44"/>
      <c r="B119" s="40" t="s">
        <v>633</v>
      </c>
      <c r="C119" s="40" t="s">
        <v>12</v>
      </c>
      <c r="D119" s="40" t="s">
        <v>120</v>
      </c>
      <c r="E119" s="37" t="s">
        <v>634</v>
      </c>
    </row>
    <row r="120">
      <c r="A120" s="44"/>
      <c r="B120" s="40" t="s">
        <v>635</v>
      </c>
      <c r="C120" s="40" t="s">
        <v>12</v>
      </c>
      <c r="D120" s="40" t="s">
        <v>71</v>
      </c>
      <c r="E120" s="37" t="s">
        <v>636</v>
      </c>
    </row>
    <row r="121">
      <c r="A121" s="44"/>
      <c r="B121" s="40" t="s">
        <v>637</v>
      </c>
      <c r="C121" s="40" t="s">
        <v>12</v>
      </c>
      <c r="D121" s="40" t="s">
        <v>120</v>
      </c>
      <c r="E121" s="37" t="s">
        <v>638</v>
      </c>
    </row>
    <row r="122">
      <c r="A122" s="44"/>
      <c r="B122" s="40" t="s">
        <v>639</v>
      </c>
      <c r="C122" s="40" t="s">
        <v>447</v>
      </c>
      <c r="D122" s="40" t="s">
        <v>71</v>
      </c>
      <c r="E122" s="37" t="s">
        <v>640</v>
      </c>
    </row>
    <row r="123">
      <c r="A123" s="44"/>
      <c r="B123" s="40" t="s">
        <v>641</v>
      </c>
      <c r="C123" s="40" t="s">
        <v>12</v>
      </c>
      <c r="D123" s="40" t="s">
        <v>92</v>
      </c>
      <c r="E123" s="37" t="s">
        <v>642</v>
      </c>
    </row>
    <row r="124">
      <c r="A124" s="44"/>
      <c r="B124" s="40" t="s">
        <v>643</v>
      </c>
      <c r="C124" s="40" t="s">
        <v>12</v>
      </c>
      <c r="D124" s="40" t="s">
        <v>71</v>
      </c>
      <c r="E124" s="37" t="s">
        <v>644</v>
      </c>
    </row>
    <row r="125">
      <c r="A125" s="44"/>
      <c r="B125" s="40" t="s">
        <v>645</v>
      </c>
      <c r="C125" s="40" t="s">
        <v>92</v>
      </c>
      <c r="D125" s="40" t="s">
        <v>92</v>
      </c>
      <c r="E125" s="37" t="s">
        <v>646</v>
      </c>
    </row>
    <row r="126">
      <c r="A126" s="44"/>
      <c r="B126" s="40" t="s">
        <v>647</v>
      </c>
      <c r="C126" s="40" t="s">
        <v>12</v>
      </c>
      <c r="D126" s="40" t="s">
        <v>71</v>
      </c>
      <c r="E126" s="37" t="s">
        <v>648</v>
      </c>
    </row>
    <row r="127">
      <c r="A127" s="44"/>
      <c r="B127" s="40" t="s">
        <v>649</v>
      </c>
      <c r="C127" s="40" t="s">
        <v>12</v>
      </c>
      <c r="D127" s="40" t="s">
        <v>71</v>
      </c>
      <c r="E127" s="37" t="s">
        <v>650</v>
      </c>
    </row>
    <row r="128">
      <c r="A128" s="44"/>
      <c r="B128" s="40" t="s">
        <v>651</v>
      </c>
      <c r="C128" s="40" t="s">
        <v>12</v>
      </c>
      <c r="D128" s="40" t="s">
        <v>92</v>
      </c>
      <c r="E128" s="37" t="s">
        <v>652</v>
      </c>
    </row>
    <row r="129">
      <c r="A129" s="44"/>
      <c r="B129" s="40" t="s">
        <v>653</v>
      </c>
      <c r="C129" s="40" t="s">
        <v>12</v>
      </c>
      <c r="D129" s="40" t="s">
        <v>12</v>
      </c>
      <c r="E129" s="37" t="s">
        <v>654</v>
      </c>
    </row>
    <row r="130">
      <c r="A130" s="44"/>
      <c r="B130" s="47"/>
      <c r="C130" s="40"/>
      <c r="D130" s="40"/>
      <c r="E130" s="48"/>
    </row>
    <row r="131">
      <c r="A131" s="44" t="s">
        <v>655</v>
      </c>
    </row>
    <row r="132">
      <c r="A132" s="44"/>
      <c r="B132" s="45" t="s">
        <v>54</v>
      </c>
      <c r="C132" s="35" t="s">
        <v>656</v>
      </c>
      <c r="D132" s="35" t="s">
        <v>575</v>
      </c>
      <c r="E132" s="46" t="s">
        <v>421</v>
      </c>
    </row>
    <row r="133">
      <c r="A133" s="49" t="s">
        <v>657</v>
      </c>
      <c r="B133" s="37" t="s">
        <v>658</v>
      </c>
      <c r="C133" s="37" t="s">
        <v>120</v>
      </c>
      <c r="D133" s="37" t="s">
        <v>92</v>
      </c>
      <c r="E133" s="50" t="s">
        <v>659</v>
      </c>
    </row>
    <row r="134">
      <c r="B134" s="37" t="s">
        <v>660</v>
      </c>
      <c r="C134" s="37" t="s">
        <v>92</v>
      </c>
      <c r="D134" s="37" t="s">
        <v>71</v>
      </c>
      <c r="E134" s="50" t="s">
        <v>661</v>
      </c>
    </row>
    <row r="135">
      <c r="B135" s="37" t="s">
        <v>353</v>
      </c>
      <c r="C135" s="37" t="s">
        <v>120</v>
      </c>
      <c r="D135" s="37" t="s">
        <v>92</v>
      </c>
      <c r="E135" s="50" t="s">
        <v>662</v>
      </c>
    </row>
    <row r="136">
      <c r="B136" s="37" t="s">
        <v>663</v>
      </c>
      <c r="C136" s="37" t="s">
        <v>136</v>
      </c>
      <c r="D136" s="37" t="s">
        <v>71</v>
      </c>
      <c r="E136" s="50" t="s">
        <v>664</v>
      </c>
    </row>
    <row r="137">
      <c r="B137" s="37" t="s">
        <v>665</v>
      </c>
      <c r="C137" s="37" t="s">
        <v>120</v>
      </c>
      <c r="D137" s="37" t="s">
        <v>92</v>
      </c>
      <c r="E137" s="50" t="s">
        <v>666</v>
      </c>
    </row>
    <row r="138">
      <c r="B138" s="37" t="s">
        <v>667</v>
      </c>
      <c r="C138" s="37" t="s">
        <v>136</v>
      </c>
      <c r="D138" s="37" t="s">
        <v>136</v>
      </c>
      <c r="E138" s="50" t="s">
        <v>668</v>
      </c>
    </row>
    <row r="139">
      <c r="B139" s="37" t="s">
        <v>336</v>
      </c>
      <c r="C139" s="37" t="s">
        <v>120</v>
      </c>
      <c r="D139" s="37" t="s">
        <v>92</v>
      </c>
      <c r="E139" s="50" t="s">
        <v>669</v>
      </c>
    </row>
    <row r="140">
      <c r="B140" s="37" t="s">
        <v>670</v>
      </c>
      <c r="C140" s="37" t="s">
        <v>120</v>
      </c>
      <c r="D140" s="37" t="s">
        <v>120</v>
      </c>
      <c r="E140" s="50" t="s">
        <v>671</v>
      </c>
    </row>
    <row r="141">
      <c r="B141" s="37" t="s">
        <v>672</v>
      </c>
      <c r="C141" s="37" t="s">
        <v>167</v>
      </c>
      <c r="D141" s="37" t="s">
        <v>167</v>
      </c>
      <c r="E141" s="50" t="s">
        <v>671</v>
      </c>
    </row>
    <row r="142">
      <c r="B142" s="37" t="s">
        <v>673</v>
      </c>
      <c r="C142" s="37" t="s">
        <v>423</v>
      </c>
      <c r="D142" s="37" t="s">
        <v>120</v>
      </c>
      <c r="E142" s="50" t="s">
        <v>674</v>
      </c>
    </row>
    <row r="143">
      <c r="B143" s="37" t="s">
        <v>675</v>
      </c>
      <c r="C143" s="37" t="s">
        <v>120</v>
      </c>
      <c r="D143" s="37" t="s">
        <v>120</v>
      </c>
      <c r="E143" s="50" t="s">
        <v>676</v>
      </c>
    </row>
    <row r="144">
      <c r="B144" s="37" t="s">
        <v>677</v>
      </c>
      <c r="C144" s="37" t="s">
        <v>12</v>
      </c>
      <c r="D144" s="37" t="s">
        <v>92</v>
      </c>
      <c r="E144" s="50" t="s">
        <v>678</v>
      </c>
    </row>
    <row r="145">
      <c r="B145" s="37" t="s">
        <v>679</v>
      </c>
      <c r="C145" s="37" t="s">
        <v>12</v>
      </c>
      <c r="D145" s="37" t="s">
        <v>92</v>
      </c>
      <c r="E145" s="50" t="s">
        <v>680</v>
      </c>
    </row>
    <row r="146">
      <c r="B146" s="37" t="s">
        <v>124</v>
      </c>
      <c r="C146" s="37" t="s">
        <v>120</v>
      </c>
      <c r="D146" s="37" t="s">
        <v>71</v>
      </c>
      <c r="E146" s="50" t="s">
        <v>681</v>
      </c>
    </row>
    <row r="147">
      <c r="B147" s="37" t="s">
        <v>180</v>
      </c>
      <c r="C147" s="37" t="s">
        <v>167</v>
      </c>
      <c r="D147" s="37" t="s">
        <v>136</v>
      </c>
      <c r="E147" s="50" t="s">
        <v>682</v>
      </c>
    </row>
    <row r="148">
      <c r="B148" s="37" t="s">
        <v>683</v>
      </c>
      <c r="C148" s="37" t="s">
        <v>12</v>
      </c>
      <c r="D148" s="37" t="s">
        <v>136</v>
      </c>
      <c r="E148" s="50" t="s">
        <v>684</v>
      </c>
    </row>
    <row r="149">
      <c r="B149" s="37" t="s">
        <v>685</v>
      </c>
      <c r="C149" s="37" t="s">
        <v>12</v>
      </c>
      <c r="D149" s="37" t="s">
        <v>136</v>
      </c>
      <c r="E149" s="50" t="s">
        <v>686</v>
      </c>
    </row>
    <row r="150">
      <c r="B150" s="37" t="s">
        <v>687</v>
      </c>
      <c r="C150" s="37" t="s">
        <v>12</v>
      </c>
      <c r="D150" s="37" t="s">
        <v>71</v>
      </c>
      <c r="E150" s="50" t="s">
        <v>688</v>
      </c>
    </row>
    <row r="151">
      <c r="A151" s="51" t="s">
        <v>689</v>
      </c>
      <c r="B151" s="37" t="s">
        <v>690</v>
      </c>
      <c r="C151" s="37" t="s">
        <v>92</v>
      </c>
      <c r="D151" s="37" t="s">
        <v>71</v>
      </c>
      <c r="E151" s="50" t="s">
        <v>682</v>
      </c>
    </row>
    <row r="152">
      <c r="B152" s="37" t="s">
        <v>691</v>
      </c>
      <c r="C152" s="37" t="s">
        <v>136</v>
      </c>
      <c r="D152" s="37" t="s">
        <v>120</v>
      </c>
      <c r="E152" s="50" t="s">
        <v>692</v>
      </c>
    </row>
    <row r="153">
      <c r="B153" s="37" t="s">
        <v>693</v>
      </c>
      <c r="C153" s="37" t="s">
        <v>71</v>
      </c>
      <c r="D153" s="37" t="s">
        <v>136</v>
      </c>
      <c r="E153" s="50" t="s">
        <v>694</v>
      </c>
    </row>
    <row r="154">
      <c r="A154" s="44"/>
      <c r="B154" s="44"/>
      <c r="C154" s="44"/>
      <c r="D154" s="44"/>
      <c r="E154" s="44"/>
    </row>
    <row r="155">
      <c r="A155" s="44" t="s">
        <v>695</v>
      </c>
    </row>
    <row r="156">
      <c r="A156" s="52"/>
      <c r="B156" s="45" t="s">
        <v>54</v>
      </c>
      <c r="C156" s="35" t="s">
        <v>696</v>
      </c>
      <c r="D156" s="35" t="s">
        <v>656</v>
      </c>
      <c r="E156" s="46" t="s">
        <v>421</v>
      </c>
    </row>
    <row r="157">
      <c r="A157" s="49" t="s">
        <v>657</v>
      </c>
      <c r="B157" s="37" t="s">
        <v>697</v>
      </c>
      <c r="C157" s="37" t="s">
        <v>12</v>
      </c>
      <c r="D157" s="53" t="s">
        <v>71</v>
      </c>
      <c r="E157" s="50" t="s">
        <v>698</v>
      </c>
    </row>
    <row r="158">
      <c r="B158" s="37" t="s">
        <v>699</v>
      </c>
      <c r="C158" s="37" t="s">
        <v>12</v>
      </c>
      <c r="D158" s="37" t="s">
        <v>71</v>
      </c>
      <c r="E158" s="50" t="s">
        <v>700</v>
      </c>
    </row>
    <row r="159">
      <c r="B159" s="37" t="s">
        <v>701</v>
      </c>
      <c r="C159" s="37" t="s">
        <v>12</v>
      </c>
      <c r="D159" s="37" t="s">
        <v>71</v>
      </c>
      <c r="E159" s="50" t="s">
        <v>702</v>
      </c>
    </row>
    <row r="160">
      <c r="B160" s="37" t="s">
        <v>703</v>
      </c>
      <c r="C160" s="37" t="s">
        <v>12</v>
      </c>
      <c r="D160" s="37" t="s">
        <v>92</v>
      </c>
      <c r="E160" s="50" t="s">
        <v>704</v>
      </c>
    </row>
    <row r="161">
      <c r="B161" s="37" t="s">
        <v>705</v>
      </c>
      <c r="C161" s="37" t="s">
        <v>12</v>
      </c>
      <c r="D161" s="37" t="s">
        <v>92</v>
      </c>
      <c r="E161" s="50" t="s">
        <v>706</v>
      </c>
    </row>
    <row r="162">
      <c r="B162" s="37" t="s">
        <v>707</v>
      </c>
      <c r="C162" s="37" t="s">
        <v>12</v>
      </c>
      <c r="D162" s="37" t="s">
        <v>708</v>
      </c>
      <c r="E162" s="50" t="s">
        <v>709</v>
      </c>
    </row>
    <row r="163">
      <c r="B163" s="37" t="s">
        <v>710</v>
      </c>
      <c r="C163" s="37" t="s">
        <v>12</v>
      </c>
      <c r="D163" s="37" t="s">
        <v>708</v>
      </c>
      <c r="E163" s="50" t="s">
        <v>711</v>
      </c>
    </row>
    <row r="164">
      <c r="B164" s="37" t="s">
        <v>712</v>
      </c>
      <c r="C164" s="37" t="s">
        <v>12</v>
      </c>
      <c r="D164" s="37" t="s">
        <v>447</v>
      </c>
      <c r="E164" s="50" t="s">
        <v>713</v>
      </c>
    </row>
    <row r="165">
      <c r="B165" s="37" t="s">
        <v>714</v>
      </c>
      <c r="C165" s="37" t="s">
        <v>12</v>
      </c>
      <c r="D165" s="37" t="s">
        <v>71</v>
      </c>
      <c r="E165" s="50" t="s">
        <v>715</v>
      </c>
    </row>
    <row r="166">
      <c r="B166" s="37" t="s">
        <v>716</v>
      </c>
      <c r="C166" s="37" t="s">
        <v>12</v>
      </c>
      <c r="D166" s="37" t="s">
        <v>120</v>
      </c>
      <c r="E166" s="50" t="s">
        <v>717</v>
      </c>
    </row>
    <row r="167">
      <c r="B167" s="37" t="s">
        <v>718</v>
      </c>
      <c r="C167" s="37" t="s">
        <v>12</v>
      </c>
      <c r="D167" s="37" t="s">
        <v>71</v>
      </c>
      <c r="E167" s="50" t="s">
        <v>719</v>
      </c>
    </row>
    <row r="168">
      <c r="B168" s="37" t="s">
        <v>720</v>
      </c>
      <c r="C168" s="37" t="s">
        <v>12</v>
      </c>
      <c r="D168" s="37" t="s">
        <v>167</v>
      </c>
      <c r="E168" s="50" t="s">
        <v>721</v>
      </c>
    </row>
    <row r="169">
      <c r="B169" s="37" t="s">
        <v>722</v>
      </c>
      <c r="C169" s="37" t="s">
        <v>12</v>
      </c>
      <c r="D169" s="37" t="s">
        <v>71</v>
      </c>
      <c r="E169" s="50" t="s">
        <v>723</v>
      </c>
    </row>
    <row r="170">
      <c r="B170" s="37" t="s">
        <v>724</v>
      </c>
      <c r="C170" s="37" t="s">
        <v>12</v>
      </c>
      <c r="D170" s="37" t="s">
        <v>120</v>
      </c>
      <c r="E170" s="50" t="s">
        <v>725</v>
      </c>
    </row>
    <row r="171">
      <c r="B171" s="37" t="s">
        <v>726</v>
      </c>
      <c r="C171" s="37" t="s">
        <v>12</v>
      </c>
      <c r="D171" s="37" t="s">
        <v>136</v>
      </c>
      <c r="E171" s="50" t="s">
        <v>727</v>
      </c>
    </row>
    <row r="172">
      <c r="B172" s="37" t="s">
        <v>728</v>
      </c>
      <c r="C172" s="37" t="s">
        <v>12</v>
      </c>
      <c r="D172" s="37" t="s">
        <v>167</v>
      </c>
      <c r="E172" s="50" t="s">
        <v>729</v>
      </c>
    </row>
    <row r="173">
      <c r="B173" s="37" t="s">
        <v>730</v>
      </c>
      <c r="C173" s="37" t="s">
        <v>12</v>
      </c>
      <c r="D173" s="37" t="s">
        <v>423</v>
      </c>
      <c r="E173" s="50" t="s">
        <v>731</v>
      </c>
    </row>
    <row r="174">
      <c r="B174" s="37" t="s">
        <v>732</v>
      </c>
      <c r="C174" s="37" t="s">
        <v>12</v>
      </c>
      <c r="D174" s="37" t="s">
        <v>423</v>
      </c>
      <c r="E174" s="50" t="s">
        <v>731</v>
      </c>
    </row>
    <row r="175">
      <c r="B175" s="37" t="s">
        <v>733</v>
      </c>
      <c r="C175" s="37" t="s">
        <v>12</v>
      </c>
      <c r="D175" s="37" t="s">
        <v>447</v>
      </c>
      <c r="E175" s="50" t="s">
        <v>734</v>
      </c>
    </row>
    <row r="176">
      <c r="B176" s="37" t="s">
        <v>735</v>
      </c>
      <c r="C176" s="37" t="s">
        <v>12</v>
      </c>
      <c r="D176" s="37" t="s">
        <v>447</v>
      </c>
      <c r="E176" s="50" t="s">
        <v>736</v>
      </c>
    </row>
    <row r="177">
      <c r="A177" s="51" t="s">
        <v>689</v>
      </c>
      <c r="B177" s="37" t="s">
        <v>737</v>
      </c>
      <c r="C177" s="37" t="s">
        <v>423</v>
      </c>
      <c r="D177" s="37" t="s">
        <v>92</v>
      </c>
      <c r="E177" s="50" t="s">
        <v>738</v>
      </c>
    </row>
    <row r="178">
      <c r="B178" s="37" t="s">
        <v>739</v>
      </c>
      <c r="C178" s="37" t="s">
        <v>423</v>
      </c>
      <c r="D178" s="37" t="s">
        <v>120</v>
      </c>
      <c r="E178" s="50" t="s">
        <v>740</v>
      </c>
    </row>
    <row r="179">
      <c r="B179" s="37" t="s">
        <v>741</v>
      </c>
      <c r="C179" s="37" t="s">
        <v>71</v>
      </c>
      <c r="D179" s="37" t="s">
        <v>71</v>
      </c>
      <c r="E179" s="50" t="s">
        <v>742</v>
      </c>
    </row>
    <row r="180">
      <c r="B180" s="37" t="s">
        <v>743</v>
      </c>
      <c r="C180" s="37" t="s">
        <v>136</v>
      </c>
      <c r="D180" s="37" t="s">
        <v>136</v>
      </c>
      <c r="E180" s="50" t="s">
        <v>744</v>
      </c>
    </row>
    <row r="181">
      <c r="B181" s="37" t="s">
        <v>745</v>
      </c>
      <c r="C181" s="37" t="s">
        <v>136</v>
      </c>
      <c r="D181" s="37" t="s">
        <v>120</v>
      </c>
      <c r="E181" s="50" t="s">
        <v>746</v>
      </c>
    </row>
    <row r="182">
      <c r="B182" s="37" t="s">
        <v>747</v>
      </c>
      <c r="C182" s="37" t="s">
        <v>167</v>
      </c>
      <c r="D182" s="37" t="s">
        <v>136</v>
      </c>
      <c r="E182" s="50" t="s">
        <v>748</v>
      </c>
    </row>
    <row r="183">
      <c r="B183" s="37" t="s">
        <v>353</v>
      </c>
      <c r="C183" s="37" t="s">
        <v>136</v>
      </c>
      <c r="D183" s="37" t="s">
        <v>120</v>
      </c>
      <c r="E183" s="50" t="s">
        <v>749</v>
      </c>
    </row>
    <row r="184">
      <c r="B184" s="37" t="s">
        <v>750</v>
      </c>
      <c r="C184" s="37" t="s">
        <v>751</v>
      </c>
      <c r="D184" s="37" t="s">
        <v>752</v>
      </c>
      <c r="E184" s="50" t="s">
        <v>753</v>
      </c>
    </row>
    <row r="185">
      <c r="B185" s="37" t="s">
        <v>754</v>
      </c>
      <c r="C185" s="37" t="s">
        <v>752</v>
      </c>
      <c r="D185" s="37" t="s">
        <v>751</v>
      </c>
      <c r="E185" s="50" t="s">
        <v>755</v>
      </c>
    </row>
    <row r="186">
      <c r="B186" s="37" t="s">
        <v>756</v>
      </c>
      <c r="C186" s="37" t="s">
        <v>752</v>
      </c>
      <c r="D186" s="37" t="s">
        <v>751</v>
      </c>
      <c r="E186" s="50" t="s">
        <v>757</v>
      </c>
    </row>
    <row r="187">
      <c r="B187" s="37" t="s">
        <v>758</v>
      </c>
      <c r="C187" s="37" t="s">
        <v>12</v>
      </c>
      <c r="D187" s="37" t="s">
        <v>752</v>
      </c>
      <c r="E187" s="50" t="s">
        <v>759</v>
      </c>
    </row>
    <row r="188">
      <c r="B188" s="37" t="s">
        <v>703</v>
      </c>
      <c r="C188" s="37" t="s">
        <v>12</v>
      </c>
      <c r="D188" s="54" t="s">
        <v>760</v>
      </c>
      <c r="E188" s="50" t="s">
        <v>761</v>
      </c>
    </row>
    <row r="189">
      <c r="B189" s="37" t="s">
        <v>214</v>
      </c>
      <c r="C189" s="37" t="s">
        <v>12</v>
      </c>
      <c r="D189" s="54" t="s">
        <v>751</v>
      </c>
      <c r="E189" s="50" t="s">
        <v>762</v>
      </c>
    </row>
    <row r="190">
      <c r="B190" s="37" t="s">
        <v>763</v>
      </c>
      <c r="C190" s="37" t="s">
        <v>760</v>
      </c>
      <c r="D190" s="54" t="s">
        <v>752</v>
      </c>
      <c r="E190" s="50" t="s">
        <v>764</v>
      </c>
    </row>
    <row r="191">
      <c r="B191" s="37" t="s">
        <v>765</v>
      </c>
      <c r="C191" s="37" t="s">
        <v>752</v>
      </c>
      <c r="D191" s="54" t="s">
        <v>751</v>
      </c>
      <c r="E191" s="50" t="s">
        <v>766</v>
      </c>
    </row>
    <row r="192">
      <c r="B192" s="37" t="s">
        <v>767</v>
      </c>
      <c r="C192" s="37" t="s">
        <v>752</v>
      </c>
      <c r="D192" s="54" t="s">
        <v>751</v>
      </c>
      <c r="E192" s="50" t="s">
        <v>768</v>
      </c>
    </row>
    <row r="193">
      <c r="B193" s="37" t="s">
        <v>769</v>
      </c>
      <c r="C193" s="37" t="s">
        <v>751</v>
      </c>
      <c r="D193" s="54" t="s">
        <v>751</v>
      </c>
      <c r="E193" s="50" t="s">
        <v>770</v>
      </c>
    </row>
    <row r="194">
      <c r="B194" s="37" t="s">
        <v>771</v>
      </c>
      <c r="C194" s="37" t="s">
        <v>92</v>
      </c>
      <c r="D194" s="54" t="s">
        <v>71</v>
      </c>
      <c r="E194" s="50" t="s">
        <v>772</v>
      </c>
    </row>
    <row r="195">
      <c r="A195" s="55"/>
      <c r="B195" s="55"/>
      <c r="C195" s="55"/>
      <c r="D195" s="55"/>
      <c r="E195" s="55"/>
    </row>
    <row r="196">
      <c r="A196" s="55" t="s">
        <v>773</v>
      </c>
    </row>
    <row r="197">
      <c r="A197" s="55"/>
      <c r="B197" s="56" t="s">
        <v>54</v>
      </c>
      <c r="C197" s="57" t="s">
        <v>774</v>
      </c>
      <c r="D197" s="57" t="s">
        <v>696</v>
      </c>
      <c r="E197" s="58" t="s">
        <v>421</v>
      </c>
    </row>
    <row r="198">
      <c r="A198" s="49" t="s">
        <v>657</v>
      </c>
      <c r="B198" s="54" t="s">
        <v>775</v>
      </c>
      <c r="C198" s="54" t="s">
        <v>12</v>
      </c>
      <c r="D198" s="54" t="s">
        <v>92</v>
      </c>
      <c r="E198" s="59" t="s">
        <v>776</v>
      </c>
    </row>
    <row r="199">
      <c r="B199" s="54" t="s">
        <v>180</v>
      </c>
      <c r="C199" s="54" t="s">
        <v>447</v>
      </c>
      <c r="D199" s="54" t="s">
        <v>167</v>
      </c>
      <c r="E199" s="59" t="s">
        <v>777</v>
      </c>
    </row>
    <row r="200">
      <c r="B200" s="54" t="s">
        <v>778</v>
      </c>
      <c r="C200" s="54" t="s">
        <v>12</v>
      </c>
      <c r="D200" s="54" t="s">
        <v>92</v>
      </c>
      <c r="E200" s="59" t="s">
        <v>779</v>
      </c>
    </row>
    <row r="201">
      <c r="B201" s="54" t="s">
        <v>780</v>
      </c>
      <c r="C201" s="54" t="s">
        <v>12</v>
      </c>
      <c r="D201" s="54" t="s">
        <v>71</v>
      </c>
      <c r="E201" s="59" t="s">
        <v>781</v>
      </c>
    </row>
    <row r="202">
      <c r="B202" s="54" t="s">
        <v>782</v>
      </c>
      <c r="C202" s="54" t="s">
        <v>12</v>
      </c>
      <c r="D202" s="54" t="s">
        <v>71</v>
      </c>
      <c r="E202" s="59" t="s">
        <v>783</v>
      </c>
    </row>
    <row r="203">
      <c r="B203" s="54" t="s">
        <v>784</v>
      </c>
      <c r="C203" s="54" t="s">
        <v>12</v>
      </c>
      <c r="D203" s="54" t="s">
        <v>92</v>
      </c>
      <c r="E203" s="59" t="s">
        <v>785</v>
      </c>
    </row>
    <row r="204">
      <c r="B204" s="54" t="s">
        <v>786</v>
      </c>
      <c r="C204" s="54" t="s">
        <v>12</v>
      </c>
      <c r="D204" s="54" t="s">
        <v>423</v>
      </c>
      <c r="E204" s="59" t="s">
        <v>787</v>
      </c>
    </row>
    <row r="205">
      <c r="B205" s="54" t="s">
        <v>788</v>
      </c>
      <c r="C205" s="54" t="s">
        <v>12</v>
      </c>
      <c r="D205" s="54" t="s">
        <v>71</v>
      </c>
      <c r="E205" s="59" t="s">
        <v>789</v>
      </c>
    </row>
    <row r="206">
      <c r="B206" s="54" t="s">
        <v>318</v>
      </c>
      <c r="C206" s="54" t="s">
        <v>12</v>
      </c>
      <c r="D206" s="54" t="s">
        <v>423</v>
      </c>
      <c r="E206" s="59" t="s">
        <v>790</v>
      </c>
    </row>
    <row r="207">
      <c r="B207" s="54" t="s">
        <v>791</v>
      </c>
      <c r="C207" s="54" t="s">
        <v>12</v>
      </c>
      <c r="D207" s="54" t="s">
        <v>92</v>
      </c>
      <c r="E207" s="59" t="s">
        <v>792</v>
      </c>
    </row>
    <row r="208">
      <c r="B208" s="54" t="s">
        <v>793</v>
      </c>
      <c r="C208" s="54" t="s">
        <v>12</v>
      </c>
      <c r="D208" s="54" t="s">
        <v>447</v>
      </c>
      <c r="E208" s="59" t="s">
        <v>794</v>
      </c>
    </row>
    <row r="209">
      <c r="B209" s="54" t="s">
        <v>795</v>
      </c>
      <c r="C209" s="54" t="s">
        <v>12</v>
      </c>
      <c r="D209" s="54" t="s">
        <v>136</v>
      </c>
      <c r="E209" s="59" t="s">
        <v>796</v>
      </c>
    </row>
    <row r="210">
      <c r="B210" s="54" t="s">
        <v>797</v>
      </c>
      <c r="C210" s="54" t="s">
        <v>12</v>
      </c>
      <c r="D210" s="54" t="s">
        <v>423</v>
      </c>
      <c r="E210" s="59" t="s">
        <v>798</v>
      </c>
    </row>
    <row r="211">
      <c r="B211" s="54" t="s">
        <v>133</v>
      </c>
      <c r="C211" s="54" t="s">
        <v>167</v>
      </c>
      <c r="D211" s="54" t="s">
        <v>120</v>
      </c>
      <c r="E211" s="59" t="s">
        <v>799</v>
      </c>
    </row>
    <row r="212">
      <c r="B212" s="54" t="s">
        <v>800</v>
      </c>
      <c r="C212" s="54" t="s">
        <v>12</v>
      </c>
      <c r="D212" s="54" t="s">
        <v>120</v>
      </c>
      <c r="E212" s="59" t="s">
        <v>801</v>
      </c>
    </row>
    <row r="213">
      <c r="B213" s="54" t="s">
        <v>802</v>
      </c>
      <c r="C213" s="54" t="s">
        <v>12</v>
      </c>
      <c r="D213" s="54" t="s">
        <v>71</v>
      </c>
      <c r="E213" s="59" t="s">
        <v>803</v>
      </c>
    </row>
    <row r="214">
      <c r="B214" s="54" t="s">
        <v>804</v>
      </c>
      <c r="C214" s="54" t="s">
        <v>12</v>
      </c>
      <c r="D214" s="54" t="s">
        <v>120</v>
      </c>
      <c r="E214" s="59" t="s">
        <v>805</v>
      </c>
    </row>
    <row r="215">
      <c r="B215" s="54" t="s">
        <v>806</v>
      </c>
      <c r="C215" s="54" t="s">
        <v>12</v>
      </c>
      <c r="D215" s="54" t="s">
        <v>136</v>
      </c>
      <c r="E215" s="59" t="s">
        <v>807</v>
      </c>
    </row>
    <row r="216">
      <c r="B216" s="54" t="s">
        <v>808</v>
      </c>
      <c r="C216" s="54" t="s">
        <v>447</v>
      </c>
      <c r="D216" s="54" t="s">
        <v>447</v>
      </c>
      <c r="E216" s="59" t="s">
        <v>809</v>
      </c>
    </row>
    <row r="217">
      <c r="B217" s="54" t="s">
        <v>810</v>
      </c>
      <c r="C217" s="54" t="s">
        <v>12</v>
      </c>
      <c r="D217" s="54" t="s">
        <v>136</v>
      </c>
      <c r="E217" s="59" t="s">
        <v>811</v>
      </c>
    </row>
    <row r="218">
      <c r="B218" s="54" t="s">
        <v>812</v>
      </c>
      <c r="C218" s="54" t="s">
        <v>12</v>
      </c>
      <c r="D218" s="54" t="s">
        <v>92</v>
      </c>
      <c r="E218" s="59" t="s">
        <v>813</v>
      </c>
    </row>
    <row r="219">
      <c r="B219" s="54" t="s">
        <v>763</v>
      </c>
      <c r="C219" s="54" t="s">
        <v>120</v>
      </c>
      <c r="D219" s="54" t="s">
        <v>71</v>
      </c>
      <c r="E219" s="59" t="s">
        <v>814</v>
      </c>
    </row>
    <row r="220">
      <c r="B220" s="54" t="s">
        <v>815</v>
      </c>
      <c r="C220" s="54" t="s">
        <v>12</v>
      </c>
      <c r="D220" s="54" t="s">
        <v>92</v>
      </c>
      <c r="E220" s="59" t="s">
        <v>816</v>
      </c>
    </row>
    <row r="221">
      <c r="B221" s="54" t="s">
        <v>817</v>
      </c>
      <c r="C221" s="54" t="s">
        <v>12</v>
      </c>
      <c r="D221" s="54" t="s">
        <v>136</v>
      </c>
      <c r="E221" s="59" t="s">
        <v>818</v>
      </c>
    </row>
    <row r="222">
      <c r="B222" s="54" t="s">
        <v>819</v>
      </c>
      <c r="C222" s="54" t="s">
        <v>12</v>
      </c>
      <c r="D222" s="54" t="s">
        <v>92</v>
      </c>
      <c r="E222" s="59" t="s">
        <v>820</v>
      </c>
    </row>
    <row r="223">
      <c r="B223" s="54" t="s">
        <v>821</v>
      </c>
      <c r="C223" s="54" t="s">
        <v>12</v>
      </c>
      <c r="D223" s="54" t="s">
        <v>92</v>
      </c>
      <c r="E223" s="59" t="s">
        <v>822</v>
      </c>
    </row>
    <row r="224">
      <c r="B224" s="54" t="s">
        <v>823</v>
      </c>
      <c r="C224" s="54" t="s">
        <v>12</v>
      </c>
      <c r="D224" s="54" t="s">
        <v>136</v>
      </c>
      <c r="E224" s="59" t="s">
        <v>824</v>
      </c>
    </row>
    <row r="225">
      <c r="B225" s="54" t="s">
        <v>825</v>
      </c>
      <c r="C225" s="54" t="s">
        <v>12</v>
      </c>
      <c r="D225" s="54" t="s">
        <v>92</v>
      </c>
      <c r="E225" s="59" t="s">
        <v>826</v>
      </c>
    </row>
    <row r="226">
      <c r="B226" s="54" t="s">
        <v>827</v>
      </c>
      <c r="C226" s="54" t="s">
        <v>12</v>
      </c>
      <c r="D226" s="54" t="s">
        <v>92</v>
      </c>
      <c r="E226" s="59" t="s">
        <v>828</v>
      </c>
    </row>
    <row r="227">
      <c r="B227" s="54" t="s">
        <v>829</v>
      </c>
      <c r="C227" s="54" t="s">
        <v>12</v>
      </c>
      <c r="D227" s="54" t="s">
        <v>120</v>
      </c>
      <c r="E227" s="59" t="s">
        <v>830</v>
      </c>
    </row>
    <row r="228">
      <c r="B228" s="54" t="s">
        <v>831</v>
      </c>
      <c r="C228" s="54" t="s">
        <v>12</v>
      </c>
      <c r="D228" s="54" t="s">
        <v>92</v>
      </c>
      <c r="E228" s="59" t="s">
        <v>832</v>
      </c>
    </row>
    <row r="229">
      <c r="B229" s="54" t="s">
        <v>833</v>
      </c>
      <c r="C229" s="54" t="s">
        <v>71</v>
      </c>
      <c r="D229" s="54" t="s">
        <v>71</v>
      </c>
      <c r="E229" s="59" t="s">
        <v>834</v>
      </c>
    </row>
    <row r="230">
      <c r="B230" s="54" t="s">
        <v>835</v>
      </c>
      <c r="C230" s="54" t="s">
        <v>12</v>
      </c>
      <c r="D230" s="54" t="s">
        <v>136</v>
      </c>
      <c r="E230" s="59" t="s">
        <v>836</v>
      </c>
    </row>
    <row r="231">
      <c r="B231" s="54" t="s">
        <v>837</v>
      </c>
      <c r="C231" s="54" t="s">
        <v>12</v>
      </c>
      <c r="D231" s="54" t="s">
        <v>71</v>
      </c>
      <c r="E231" s="59" t="s">
        <v>838</v>
      </c>
    </row>
    <row r="232">
      <c r="B232" s="54" t="s">
        <v>839</v>
      </c>
      <c r="C232" s="54" t="s">
        <v>12</v>
      </c>
      <c r="D232" s="54" t="s">
        <v>92</v>
      </c>
      <c r="E232" s="59" t="s">
        <v>840</v>
      </c>
    </row>
    <row r="233">
      <c r="B233" s="54" t="s">
        <v>214</v>
      </c>
      <c r="C233" s="54" t="s">
        <v>120</v>
      </c>
      <c r="D233" s="54" t="s">
        <v>71</v>
      </c>
      <c r="E233" s="59" t="s">
        <v>841</v>
      </c>
    </row>
    <row r="234">
      <c r="B234" s="54" t="s">
        <v>842</v>
      </c>
      <c r="C234" s="54" t="s">
        <v>12</v>
      </c>
      <c r="D234" s="54" t="s">
        <v>423</v>
      </c>
      <c r="E234" s="59" t="s">
        <v>843</v>
      </c>
    </row>
    <row r="235">
      <c r="B235" s="54" t="s">
        <v>844</v>
      </c>
      <c r="C235" s="54" t="s">
        <v>12</v>
      </c>
      <c r="D235" s="54" t="s">
        <v>120</v>
      </c>
      <c r="E235" s="59" t="s">
        <v>845</v>
      </c>
    </row>
    <row r="236">
      <c r="B236" s="54" t="s">
        <v>771</v>
      </c>
      <c r="C236" s="54" t="s">
        <v>12</v>
      </c>
      <c r="D236" s="54" t="s">
        <v>92</v>
      </c>
      <c r="E236" s="59" t="s">
        <v>846</v>
      </c>
    </row>
    <row r="237">
      <c r="B237" s="54" t="s">
        <v>847</v>
      </c>
      <c r="C237" s="54" t="s">
        <v>12</v>
      </c>
      <c r="D237" s="54" t="s">
        <v>120</v>
      </c>
      <c r="E237" s="59" t="s">
        <v>848</v>
      </c>
    </row>
    <row r="238">
      <c r="A238" s="51" t="s">
        <v>689</v>
      </c>
      <c r="B238" s="54" t="s">
        <v>849</v>
      </c>
      <c r="C238" s="54" t="s">
        <v>760</v>
      </c>
      <c r="D238" s="54" t="s">
        <v>752</v>
      </c>
      <c r="E238" s="59" t="s">
        <v>850</v>
      </c>
    </row>
    <row r="239">
      <c r="B239" s="54" t="s">
        <v>851</v>
      </c>
      <c r="C239" s="54" t="s">
        <v>752</v>
      </c>
      <c r="D239" s="54" t="s">
        <v>751</v>
      </c>
      <c r="E239" s="59" t="s">
        <v>852</v>
      </c>
    </row>
    <row r="240">
      <c r="B240" s="54" t="s">
        <v>853</v>
      </c>
      <c r="C240" s="54" t="s">
        <v>751</v>
      </c>
      <c r="D240" s="54" t="s">
        <v>760</v>
      </c>
      <c r="E240" s="59" t="s">
        <v>854</v>
      </c>
    </row>
    <row r="241">
      <c r="B241" s="54" t="s">
        <v>855</v>
      </c>
      <c r="C241" s="54" t="s">
        <v>751</v>
      </c>
      <c r="D241" s="54" t="s">
        <v>760</v>
      </c>
      <c r="E241" s="59" t="s">
        <v>856</v>
      </c>
    </row>
    <row r="242">
      <c r="B242" s="54" t="s">
        <v>857</v>
      </c>
      <c r="C242" s="54" t="s">
        <v>751</v>
      </c>
      <c r="D242" s="54" t="s">
        <v>752</v>
      </c>
      <c r="E242" s="59" t="s">
        <v>858</v>
      </c>
    </row>
    <row r="243">
      <c r="B243" s="54" t="s">
        <v>859</v>
      </c>
      <c r="C243" s="54" t="s">
        <v>760</v>
      </c>
      <c r="D243" s="54" t="s">
        <v>751</v>
      </c>
      <c r="E243" s="59" t="s">
        <v>860</v>
      </c>
    </row>
    <row r="244">
      <c r="B244" s="54" t="s">
        <v>861</v>
      </c>
      <c r="C244" s="54" t="s">
        <v>760</v>
      </c>
      <c r="D244" s="54" t="s">
        <v>751</v>
      </c>
      <c r="E244" s="59" t="s">
        <v>862</v>
      </c>
    </row>
    <row r="245">
      <c r="B245" s="54" t="s">
        <v>863</v>
      </c>
      <c r="C245" s="54" t="s">
        <v>760</v>
      </c>
      <c r="D245" s="54" t="s">
        <v>751</v>
      </c>
      <c r="E245" s="59" t="s">
        <v>864</v>
      </c>
    </row>
    <row r="246">
      <c r="B246" s="54" t="s">
        <v>853</v>
      </c>
      <c r="C246" s="54" t="s">
        <v>71</v>
      </c>
      <c r="D246" s="54" t="s">
        <v>92</v>
      </c>
      <c r="E246" s="59" t="s">
        <v>865</v>
      </c>
    </row>
    <row r="247">
      <c r="B247" s="54" t="s">
        <v>866</v>
      </c>
      <c r="C247" s="54" t="s">
        <v>71</v>
      </c>
      <c r="D247" s="54" t="s">
        <v>92</v>
      </c>
      <c r="E247" s="59" t="s">
        <v>865</v>
      </c>
    </row>
    <row r="248">
      <c r="B248" s="54" t="s">
        <v>521</v>
      </c>
      <c r="C248" s="54" t="s">
        <v>71</v>
      </c>
      <c r="D248" s="54" t="s">
        <v>92</v>
      </c>
      <c r="E248" s="59" t="s">
        <v>867</v>
      </c>
    </row>
    <row r="249">
      <c r="B249" s="54" t="s">
        <v>868</v>
      </c>
      <c r="C249" s="54" t="s">
        <v>92</v>
      </c>
      <c r="D249" s="54" t="s">
        <v>120</v>
      </c>
      <c r="E249" s="59" t="s">
        <v>869</v>
      </c>
    </row>
    <row r="250">
      <c r="B250" s="54" t="s">
        <v>767</v>
      </c>
      <c r="C250" s="54" t="s">
        <v>92</v>
      </c>
      <c r="D250" s="54" t="s">
        <v>71</v>
      </c>
      <c r="E250" s="59" t="s">
        <v>870</v>
      </c>
    </row>
    <row r="251">
      <c r="B251" s="54" t="s">
        <v>871</v>
      </c>
      <c r="C251" s="54" t="s">
        <v>136</v>
      </c>
      <c r="D251" s="54" t="s">
        <v>92</v>
      </c>
      <c r="E251" s="59" t="s">
        <v>872</v>
      </c>
    </row>
    <row r="252">
      <c r="B252" s="54" t="s">
        <v>873</v>
      </c>
      <c r="C252" s="54" t="s">
        <v>92</v>
      </c>
      <c r="D252" s="54" t="s">
        <v>71</v>
      </c>
      <c r="E252" s="59" t="s">
        <v>872</v>
      </c>
    </row>
    <row r="253">
      <c r="B253" s="54" t="s">
        <v>874</v>
      </c>
      <c r="C253" s="54" t="s">
        <v>167</v>
      </c>
      <c r="D253" s="54" t="s">
        <v>136</v>
      </c>
      <c r="E253" s="59" t="s">
        <v>875</v>
      </c>
    </row>
    <row r="254">
      <c r="B254" s="54" t="s">
        <v>876</v>
      </c>
      <c r="C254" s="54" t="s">
        <v>71</v>
      </c>
      <c r="D254" s="54" t="s">
        <v>92</v>
      </c>
      <c r="E254" s="59" t="s">
        <v>877</v>
      </c>
    </row>
    <row r="255">
      <c r="B255" s="54" t="s">
        <v>878</v>
      </c>
      <c r="C255" s="54" t="s">
        <v>71</v>
      </c>
      <c r="D255" s="54" t="s">
        <v>92</v>
      </c>
      <c r="E255" s="59" t="s">
        <v>879</v>
      </c>
    </row>
    <row r="256">
      <c r="B256" s="54" t="s">
        <v>880</v>
      </c>
      <c r="C256" s="54" t="s">
        <v>71</v>
      </c>
      <c r="D256" s="54" t="s">
        <v>92</v>
      </c>
      <c r="E256" s="59" t="s">
        <v>881</v>
      </c>
    </row>
    <row r="257">
      <c r="B257" s="54" t="s">
        <v>882</v>
      </c>
      <c r="C257" s="54" t="s">
        <v>71</v>
      </c>
      <c r="D257" s="54" t="s">
        <v>92</v>
      </c>
      <c r="E257" s="59" t="s">
        <v>883</v>
      </c>
    </row>
    <row r="258">
      <c r="B258" s="54" t="s">
        <v>884</v>
      </c>
      <c r="C258" s="54" t="s">
        <v>71</v>
      </c>
      <c r="D258" s="54" t="s">
        <v>92</v>
      </c>
      <c r="E258" s="59" t="s">
        <v>885</v>
      </c>
    </row>
    <row r="259">
      <c r="B259" s="54" t="s">
        <v>849</v>
      </c>
      <c r="C259" s="54" t="s">
        <v>92</v>
      </c>
      <c r="D259" s="54" t="s">
        <v>71</v>
      </c>
      <c r="E259" s="59" t="s">
        <v>850</v>
      </c>
    </row>
    <row r="260">
      <c r="B260" s="54" t="s">
        <v>861</v>
      </c>
      <c r="C260" s="54" t="s">
        <v>136</v>
      </c>
      <c r="D260" s="54" t="s">
        <v>120</v>
      </c>
      <c r="E260" s="59" t="s">
        <v>886</v>
      </c>
    </row>
    <row r="261">
      <c r="B261" s="54" t="s">
        <v>887</v>
      </c>
      <c r="C261" s="54" t="s">
        <v>136</v>
      </c>
      <c r="D261" s="54" t="s">
        <v>167</v>
      </c>
      <c r="E261" s="59" t="s">
        <v>888</v>
      </c>
    </row>
    <row r="262">
      <c r="B262" s="54" t="s">
        <v>889</v>
      </c>
      <c r="C262" s="54" t="s">
        <v>447</v>
      </c>
      <c r="D262" s="54" t="s">
        <v>120</v>
      </c>
      <c r="E262" s="59" t="s">
        <v>890</v>
      </c>
    </row>
    <row r="263">
      <c r="B263" s="54" t="s">
        <v>891</v>
      </c>
      <c r="C263" s="54" t="s">
        <v>447</v>
      </c>
      <c r="D263" s="54" t="s">
        <v>423</v>
      </c>
      <c r="E263" s="59" t="s">
        <v>892</v>
      </c>
    </row>
    <row r="264">
      <c r="B264" s="54" t="s">
        <v>893</v>
      </c>
      <c r="C264" s="54" t="s">
        <v>447</v>
      </c>
      <c r="D264" s="54" t="s">
        <v>423</v>
      </c>
      <c r="E264" s="59" t="s">
        <v>894</v>
      </c>
    </row>
    <row r="265">
      <c r="B265" s="54" t="s">
        <v>895</v>
      </c>
      <c r="C265" s="54" t="s">
        <v>447</v>
      </c>
      <c r="D265" s="54" t="s">
        <v>167</v>
      </c>
      <c r="E265" s="59" t="s">
        <v>896</v>
      </c>
    </row>
    <row r="266">
      <c r="B266" s="54" t="s">
        <v>247</v>
      </c>
      <c r="C266" s="54" t="s">
        <v>92</v>
      </c>
      <c r="D266" s="54" t="s">
        <v>120</v>
      </c>
      <c r="E266" s="59" t="s">
        <v>897</v>
      </c>
    </row>
    <row r="267">
      <c r="B267" s="54" t="s">
        <v>898</v>
      </c>
      <c r="C267" s="54" t="s">
        <v>120</v>
      </c>
      <c r="D267" s="54" t="s">
        <v>92</v>
      </c>
      <c r="E267" s="59" t="s">
        <v>899</v>
      </c>
    </row>
    <row r="268">
      <c r="B268" s="54" t="s">
        <v>900</v>
      </c>
      <c r="C268" s="54" t="s">
        <v>167</v>
      </c>
      <c r="D268" s="54" t="s">
        <v>92</v>
      </c>
      <c r="E268" s="59" t="s">
        <v>901</v>
      </c>
    </row>
    <row r="269">
      <c r="B269" s="54" t="s">
        <v>902</v>
      </c>
      <c r="C269" s="54" t="s">
        <v>708</v>
      </c>
      <c r="D269" s="54" t="s">
        <v>423</v>
      </c>
      <c r="E269" s="59" t="s">
        <v>903</v>
      </c>
    </row>
    <row r="270">
      <c r="B270" s="54" t="s">
        <v>904</v>
      </c>
      <c r="C270" s="54" t="s">
        <v>423</v>
      </c>
      <c r="D270" s="54" t="s">
        <v>708</v>
      </c>
      <c r="E270" s="59" t="s">
        <v>905</v>
      </c>
    </row>
    <row r="271">
      <c r="B271" s="54" t="s">
        <v>906</v>
      </c>
      <c r="C271" s="54" t="s">
        <v>136</v>
      </c>
      <c r="D271" s="54" t="s">
        <v>120</v>
      </c>
      <c r="E271" s="59" t="s">
        <v>907</v>
      </c>
    </row>
    <row r="272">
      <c r="B272" s="54" t="s">
        <v>908</v>
      </c>
      <c r="C272" s="54" t="s">
        <v>120</v>
      </c>
      <c r="D272" s="54" t="s">
        <v>136</v>
      </c>
      <c r="E272" s="59" t="s">
        <v>909</v>
      </c>
    </row>
    <row r="273">
      <c r="B273" s="54" t="s">
        <v>910</v>
      </c>
      <c r="C273" s="54" t="s">
        <v>911</v>
      </c>
      <c r="D273" s="54" t="s">
        <v>708</v>
      </c>
      <c r="E273" s="59" t="s">
        <v>912</v>
      </c>
    </row>
    <row r="274">
      <c r="B274" s="54" t="s">
        <v>913</v>
      </c>
      <c r="C274" s="54" t="s">
        <v>911</v>
      </c>
      <c r="D274" s="54" t="s">
        <v>708</v>
      </c>
      <c r="E274" s="59" t="s">
        <v>912</v>
      </c>
    </row>
    <row r="275">
      <c r="B275" s="54" t="s">
        <v>914</v>
      </c>
      <c r="C275" s="54" t="s">
        <v>708</v>
      </c>
      <c r="D275" s="54" t="s">
        <v>120</v>
      </c>
      <c r="E275" s="59" t="s">
        <v>915</v>
      </c>
    </row>
    <row r="276">
      <c r="B276" s="54" t="s">
        <v>916</v>
      </c>
      <c r="C276" s="54" t="s">
        <v>120</v>
      </c>
      <c r="D276" s="54" t="s">
        <v>92</v>
      </c>
      <c r="E276" s="59" t="s">
        <v>917</v>
      </c>
    </row>
    <row r="277">
      <c r="A277" s="55"/>
      <c r="B277" s="54"/>
      <c r="C277" s="54"/>
      <c r="D277" s="54"/>
      <c r="E277" s="59"/>
    </row>
    <row r="278">
      <c r="A278" s="55" t="s">
        <v>918</v>
      </c>
    </row>
    <row r="279">
      <c r="A279" s="60"/>
      <c r="B279" s="56" t="s">
        <v>54</v>
      </c>
      <c r="C279" s="57" t="s">
        <v>919</v>
      </c>
      <c r="D279" s="57" t="s">
        <v>920</v>
      </c>
      <c r="E279" s="58" t="s">
        <v>421</v>
      </c>
    </row>
    <row r="280">
      <c r="A280" s="49" t="s">
        <v>181</v>
      </c>
      <c r="B280" s="61" t="s">
        <v>921</v>
      </c>
      <c r="C280" s="62" t="s">
        <v>708</v>
      </c>
      <c r="D280" s="63" t="s">
        <v>423</v>
      </c>
      <c r="E280" s="59" t="s">
        <v>922</v>
      </c>
    </row>
    <row r="281">
      <c r="B281" s="61" t="s">
        <v>923</v>
      </c>
      <c r="C281" s="64" t="s">
        <v>167</v>
      </c>
      <c r="D281" s="63" t="s">
        <v>423</v>
      </c>
      <c r="E281" s="59" t="s">
        <v>924</v>
      </c>
    </row>
    <row r="282">
      <c r="B282" s="61" t="s">
        <v>925</v>
      </c>
      <c r="C282" s="65" t="s">
        <v>120</v>
      </c>
      <c r="D282" s="66" t="s">
        <v>92</v>
      </c>
      <c r="E282" s="59" t="s">
        <v>926</v>
      </c>
    </row>
    <row r="283">
      <c r="B283" s="61" t="s">
        <v>927</v>
      </c>
      <c r="C283" s="65" t="s">
        <v>120</v>
      </c>
      <c r="D283" s="67" t="s">
        <v>167</v>
      </c>
      <c r="E283" s="59" t="s">
        <v>928</v>
      </c>
    </row>
    <row r="284">
      <c r="B284" s="61" t="s">
        <v>898</v>
      </c>
      <c r="C284" s="68" t="s">
        <v>136</v>
      </c>
      <c r="D284" s="69" t="s">
        <v>120</v>
      </c>
      <c r="E284" s="59" t="s">
        <v>929</v>
      </c>
    </row>
    <row r="285">
      <c r="B285" s="61" t="s">
        <v>930</v>
      </c>
      <c r="C285" s="62" t="s">
        <v>708</v>
      </c>
      <c r="D285" s="70" t="s">
        <v>447</v>
      </c>
      <c r="E285" s="59" t="s">
        <v>931</v>
      </c>
    </row>
    <row r="286">
      <c r="B286" s="61" t="s">
        <v>932</v>
      </c>
      <c r="C286" s="71" t="s">
        <v>71</v>
      </c>
      <c r="D286" s="69" t="s">
        <v>120</v>
      </c>
      <c r="E286" s="59" t="s">
        <v>933</v>
      </c>
    </row>
    <row r="287">
      <c r="B287" s="61" t="s">
        <v>934</v>
      </c>
      <c r="C287" s="71" t="s">
        <v>71</v>
      </c>
      <c r="D287" s="69" t="s">
        <v>120</v>
      </c>
      <c r="E287" s="59" t="s">
        <v>935</v>
      </c>
    </row>
    <row r="288">
      <c r="B288" s="61" t="s">
        <v>936</v>
      </c>
      <c r="C288" s="71" t="s">
        <v>71</v>
      </c>
      <c r="D288" s="66" t="s">
        <v>92</v>
      </c>
      <c r="E288" s="59" t="s">
        <v>937</v>
      </c>
    </row>
    <row r="289">
      <c r="B289" s="61" t="s">
        <v>315</v>
      </c>
      <c r="C289" s="65" t="s">
        <v>120</v>
      </c>
      <c r="D289" s="66" t="s">
        <v>92</v>
      </c>
      <c r="E289" s="59" t="s">
        <v>938</v>
      </c>
    </row>
    <row r="290">
      <c r="B290" s="54" t="s">
        <v>939</v>
      </c>
      <c r="C290" s="54" t="s">
        <v>12</v>
      </c>
      <c r="D290" s="72" t="s">
        <v>911</v>
      </c>
      <c r="E290" s="59" t="s">
        <v>940</v>
      </c>
    </row>
    <row r="291">
      <c r="B291" s="61" t="s">
        <v>941</v>
      </c>
      <c r="C291" s="73" t="s">
        <v>423</v>
      </c>
      <c r="D291" s="70" t="s">
        <v>447</v>
      </c>
      <c r="E291" s="59" t="s">
        <v>942</v>
      </c>
    </row>
    <row r="292">
      <c r="B292" s="61" t="s">
        <v>943</v>
      </c>
      <c r="C292" s="73" t="s">
        <v>423</v>
      </c>
      <c r="D292" s="67" t="s">
        <v>167</v>
      </c>
      <c r="E292" s="59" t="s">
        <v>944</v>
      </c>
    </row>
    <row r="293">
      <c r="B293" s="61" t="s">
        <v>945</v>
      </c>
      <c r="C293" s="73" t="s">
        <v>423</v>
      </c>
      <c r="D293" s="70" t="s">
        <v>447</v>
      </c>
      <c r="E293" s="59" t="s">
        <v>942</v>
      </c>
    </row>
    <row r="294">
      <c r="B294" s="61" t="s">
        <v>276</v>
      </c>
      <c r="C294" s="65" t="s">
        <v>120</v>
      </c>
      <c r="D294" s="74" t="s">
        <v>136</v>
      </c>
      <c r="E294" s="59" t="s">
        <v>946</v>
      </c>
    </row>
    <row r="295">
      <c r="B295" s="61" t="s">
        <v>365</v>
      </c>
      <c r="C295" s="62" t="s">
        <v>708</v>
      </c>
      <c r="D295" s="70" t="s">
        <v>447</v>
      </c>
      <c r="E295" s="59" t="s">
        <v>947</v>
      </c>
    </row>
    <row r="296">
      <c r="B296" s="61" t="s">
        <v>948</v>
      </c>
      <c r="C296" s="70" t="s">
        <v>447</v>
      </c>
      <c r="D296" s="63" t="s">
        <v>423</v>
      </c>
      <c r="E296" s="59" t="s">
        <v>938</v>
      </c>
    </row>
    <row r="297">
      <c r="B297" s="61" t="s">
        <v>269</v>
      </c>
      <c r="C297" s="75" t="s">
        <v>92</v>
      </c>
      <c r="D297" s="69" t="s">
        <v>120</v>
      </c>
      <c r="E297" s="59" t="s">
        <v>949</v>
      </c>
    </row>
    <row r="298">
      <c r="B298" s="61" t="s">
        <v>950</v>
      </c>
      <c r="C298" s="70" t="s">
        <v>447</v>
      </c>
      <c r="D298" s="63" t="s">
        <v>423</v>
      </c>
      <c r="E298" s="59" t="s">
        <v>951</v>
      </c>
    </row>
    <row r="299">
      <c r="B299" s="61" t="s">
        <v>952</v>
      </c>
      <c r="C299" s="75" t="s">
        <v>92</v>
      </c>
      <c r="D299" s="74" t="s">
        <v>136</v>
      </c>
      <c r="E299" s="59" t="s">
        <v>953</v>
      </c>
    </row>
    <row r="300">
      <c r="B300" s="61" t="s">
        <v>900</v>
      </c>
      <c r="C300" s="65" t="s">
        <v>120</v>
      </c>
      <c r="D300" s="67" t="s">
        <v>167</v>
      </c>
      <c r="E300" s="59" t="s">
        <v>954</v>
      </c>
    </row>
    <row r="301">
      <c r="B301" s="61" t="s">
        <v>955</v>
      </c>
      <c r="C301" s="64" t="s">
        <v>167</v>
      </c>
      <c r="D301" s="63" t="s">
        <v>423</v>
      </c>
      <c r="E301" s="59" t="s">
        <v>956</v>
      </c>
    </row>
    <row r="302">
      <c r="B302" s="61" t="s">
        <v>957</v>
      </c>
      <c r="C302" s="70" t="s">
        <v>447</v>
      </c>
      <c r="D302" s="67" t="s">
        <v>167</v>
      </c>
      <c r="E302" s="59" t="s">
        <v>958</v>
      </c>
    </row>
    <row r="303">
      <c r="B303" s="61" t="s">
        <v>959</v>
      </c>
      <c r="C303" s="62" t="s">
        <v>708</v>
      </c>
      <c r="D303" s="70" t="s">
        <v>447</v>
      </c>
      <c r="E303" s="59" t="s">
        <v>942</v>
      </c>
    </row>
    <row r="304">
      <c r="B304" s="61" t="s">
        <v>960</v>
      </c>
      <c r="C304" s="62" t="s">
        <v>708</v>
      </c>
      <c r="D304" s="70" t="s">
        <v>447</v>
      </c>
      <c r="E304" s="59" t="s">
        <v>947</v>
      </c>
    </row>
    <row r="305">
      <c r="B305" s="61" t="s">
        <v>112</v>
      </c>
      <c r="C305" s="73" t="s">
        <v>423</v>
      </c>
      <c r="D305" s="70" t="s">
        <v>447</v>
      </c>
      <c r="E305" s="59" t="s">
        <v>961</v>
      </c>
    </row>
    <row r="306">
      <c r="B306" s="54" t="s">
        <v>962</v>
      </c>
      <c r="C306" s="54" t="s">
        <v>12</v>
      </c>
      <c r="D306" s="76" t="s">
        <v>71</v>
      </c>
      <c r="E306" s="59" t="s">
        <v>963</v>
      </c>
    </row>
    <row r="307">
      <c r="B307" s="61" t="s">
        <v>199</v>
      </c>
      <c r="C307" s="71" t="s">
        <v>71</v>
      </c>
      <c r="D307" s="69" t="s">
        <v>120</v>
      </c>
      <c r="E307" s="59" t="s">
        <v>964</v>
      </c>
    </row>
    <row r="308">
      <c r="B308" s="61" t="s">
        <v>965</v>
      </c>
      <c r="C308" s="68" t="s">
        <v>136</v>
      </c>
      <c r="D308" s="67" t="s">
        <v>167</v>
      </c>
      <c r="E308" s="59" t="s">
        <v>966</v>
      </c>
    </row>
    <row r="309">
      <c r="B309" s="61" t="s">
        <v>967</v>
      </c>
      <c r="C309" s="75" t="s">
        <v>92</v>
      </c>
      <c r="D309" s="74" t="s">
        <v>136</v>
      </c>
      <c r="E309" s="59" t="s">
        <v>947</v>
      </c>
    </row>
    <row r="310">
      <c r="B310" s="61" t="s">
        <v>968</v>
      </c>
      <c r="C310" s="65" t="s">
        <v>120</v>
      </c>
      <c r="D310" s="67" t="s">
        <v>167</v>
      </c>
      <c r="E310" s="59" t="s">
        <v>969</v>
      </c>
    </row>
    <row r="311">
      <c r="B311" s="61" t="s">
        <v>970</v>
      </c>
      <c r="C311" s="73" t="s">
        <v>423</v>
      </c>
      <c r="D311" s="70" t="s">
        <v>447</v>
      </c>
      <c r="E311" s="59" t="s">
        <v>961</v>
      </c>
    </row>
    <row r="312">
      <c r="B312" s="61" t="s">
        <v>211</v>
      </c>
      <c r="C312" s="68" t="s">
        <v>136</v>
      </c>
      <c r="D312" s="67" t="s">
        <v>167</v>
      </c>
      <c r="E312" s="59" t="s">
        <v>971</v>
      </c>
    </row>
    <row r="313">
      <c r="B313" s="61" t="s">
        <v>247</v>
      </c>
      <c r="C313" s="71" t="s">
        <v>71</v>
      </c>
      <c r="D313" s="66" t="s">
        <v>92</v>
      </c>
      <c r="E313" s="59" t="s">
        <v>972</v>
      </c>
    </row>
    <row r="314">
      <c r="B314" s="61" t="s">
        <v>973</v>
      </c>
      <c r="C314" s="70" t="s">
        <v>447</v>
      </c>
      <c r="D314" s="77" t="s">
        <v>708</v>
      </c>
      <c r="E314" s="59" t="s">
        <v>974</v>
      </c>
    </row>
    <row r="315">
      <c r="B315" s="61" t="s">
        <v>975</v>
      </c>
      <c r="C315" s="70" t="s">
        <v>447</v>
      </c>
      <c r="D315" s="63" t="s">
        <v>423</v>
      </c>
      <c r="E315" s="59" t="s">
        <v>976</v>
      </c>
    </row>
    <row r="316">
      <c r="B316" s="61" t="s">
        <v>977</v>
      </c>
      <c r="C316" s="62" t="s">
        <v>708</v>
      </c>
      <c r="D316" s="70" t="s">
        <v>447</v>
      </c>
      <c r="E316" s="59" t="s">
        <v>942</v>
      </c>
    </row>
    <row r="317">
      <c r="B317" s="61" t="s">
        <v>978</v>
      </c>
      <c r="C317" s="65" t="s">
        <v>120</v>
      </c>
      <c r="D317" s="67" t="s">
        <v>167</v>
      </c>
      <c r="E317" s="59" t="s">
        <v>953</v>
      </c>
    </row>
    <row r="318">
      <c r="B318" s="61" t="s">
        <v>979</v>
      </c>
      <c r="C318" s="62" t="s">
        <v>708</v>
      </c>
      <c r="D318" s="72" t="s">
        <v>911</v>
      </c>
      <c r="E318" s="59" t="s">
        <v>980</v>
      </c>
    </row>
    <row r="319">
      <c r="B319" s="61" t="s">
        <v>981</v>
      </c>
      <c r="C319" s="73" t="s">
        <v>423</v>
      </c>
      <c r="D319" s="77" t="s">
        <v>708</v>
      </c>
      <c r="E319" s="59" t="s">
        <v>982</v>
      </c>
    </row>
    <row r="320">
      <c r="B320" s="61" t="s">
        <v>983</v>
      </c>
      <c r="C320" s="70" t="s">
        <v>447</v>
      </c>
      <c r="D320" s="63" t="s">
        <v>423</v>
      </c>
      <c r="E320" s="59" t="s">
        <v>984</v>
      </c>
    </row>
    <row r="321">
      <c r="B321" s="61" t="s">
        <v>985</v>
      </c>
      <c r="C321" s="62" t="s">
        <v>708</v>
      </c>
      <c r="D321" s="72" t="s">
        <v>911</v>
      </c>
      <c r="E321" s="59" t="s">
        <v>980</v>
      </c>
    </row>
    <row r="322">
      <c r="B322" s="61" t="s">
        <v>986</v>
      </c>
      <c r="C322" s="64" t="s">
        <v>167</v>
      </c>
      <c r="D322" s="63" t="s">
        <v>423</v>
      </c>
      <c r="E322" s="59" t="s">
        <v>942</v>
      </c>
    </row>
    <row r="323">
      <c r="B323" s="54" t="s">
        <v>987</v>
      </c>
      <c r="C323" s="54" t="s">
        <v>12</v>
      </c>
      <c r="D323" s="66" t="s">
        <v>92</v>
      </c>
      <c r="E323" s="59" t="s">
        <v>988</v>
      </c>
    </row>
    <row r="324">
      <c r="B324" s="61" t="s">
        <v>989</v>
      </c>
      <c r="C324" s="70" t="s">
        <v>447</v>
      </c>
      <c r="D324" s="77" t="s">
        <v>708</v>
      </c>
      <c r="E324" s="59" t="s">
        <v>990</v>
      </c>
    </row>
    <row r="325">
      <c r="B325" s="61" t="s">
        <v>991</v>
      </c>
      <c r="C325" s="64" t="s">
        <v>167</v>
      </c>
      <c r="D325" s="70" t="s">
        <v>447</v>
      </c>
      <c r="E325" s="59" t="s">
        <v>992</v>
      </c>
    </row>
    <row r="326">
      <c r="B326" s="61" t="s">
        <v>993</v>
      </c>
      <c r="C326" s="65" t="s">
        <v>120</v>
      </c>
      <c r="D326" s="74" t="s">
        <v>136</v>
      </c>
      <c r="E326" s="59" t="s">
        <v>953</v>
      </c>
    </row>
    <row r="327">
      <c r="B327" s="61" t="s">
        <v>994</v>
      </c>
      <c r="C327" s="62" t="s">
        <v>708</v>
      </c>
      <c r="D327" s="72" t="s">
        <v>911</v>
      </c>
      <c r="E327" s="59" t="s">
        <v>980</v>
      </c>
    </row>
    <row r="328">
      <c r="B328" s="61" t="s">
        <v>995</v>
      </c>
      <c r="C328" s="62" t="s">
        <v>708</v>
      </c>
      <c r="D328" s="70" t="s">
        <v>447</v>
      </c>
      <c r="E328" s="59" t="s">
        <v>942</v>
      </c>
    </row>
    <row r="329">
      <c r="B329" s="61" t="s">
        <v>90</v>
      </c>
      <c r="C329" s="75" t="s">
        <v>92</v>
      </c>
      <c r="D329" s="74" t="s">
        <v>136</v>
      </c>
      <c r="E329" s="59" t="s">
        <v>996</v>
      </c>
    </row>
    <row r="330">
      <c r="B330" s="54" t="s">
        <v>997</v>
      </c>
      <c r="C330" s="54" t="s">
        <v>12</v>
      </c>
      <c r="D330" s="77" t="s">
        <v>708</v>
      </c>
      <c r="E330" s="59" t="s">
        <v>998</v>
      </c>
    </row>
    <row r="331">
      <c r="B331" s="61" t="s">
        <v>999</v>
      </c>
      <c r="C331" s="70" t="s">
        <v>447</v>
      </c>
      <c r="D331" s="67" t="s">
        <v>167</v>
      </c>
      <c r="E331" s="59" t="s">
        <v>1000</v>
      </c>
    </row>
    <row r="332">
      <c r="B332" s="61" t="s">
        <v>1001</v>
      </c>
      <c r="C332" s="62" t="s">
        <v>708</v>
      </c>
      <c r="D332" s="70" t="s">
        <v>447</v>
      </c>
      <c r="E332" s="59" t="s">
        <v>1002</v>
      </c>
    </row>
    <row r="333">
      <c r="B333" s="61" t="s">
        <v>1003</v>
      </c>
      <c r="C333" s="73" t="s">
        <v>423</v>
      </c>
      <c r="D333" s="70" t="s">
        <v>447</v>
      </c>
      <c r="E333" s="59" t="s">
        <v>1004</v>
      </c>
    </row>
    <row r="334">
      <c r="B334" s="61" t="s">
        <v>1005</v>
      </c>
      <c r="C334" s="65" t="s">
        <v>120</v>
      </c>
      <c r="D334" s="74" t="s">
        <v>136</v>
      </c>
      <c r="E334" s="59" t="s">
        <v>953</v>
      </c>
    </row>
    <row r="335">
      <c r="B335" s="61" t="s">
        <v>1006</v>
      </c>
      <c r="C335" s="68" t="s">
        <v>136</v>
      </c>
      <c r="D335" s="63" t="s">
        <v>423</v>
      </c>
      <c r="E335" s="59" t="s">
        <v>953</v>
      </c>
    </row>
    <row r="336">
      <c r="B336" s="61" t="s">
        <v>1007</v>
      </c>
      <c r="C336" s="70" t="s">
        <v>447</v>
      </c>
      <c r="D336" s="77" t="s">
        <v>708</v>
      </c>
      <c r="E336" s="59" t="s">
        <v>942</v>
      </c>
    </row>
    <row r="337">
      <c r="B337" s="61" t="s">
        <v>196</v>
      </c>
      <c r="C337" s="68" t="s">
        <v>136</v>
      </c>
      <c r="D337" s="67" t="s">
        <v>167</v>
      </c>
      <c r="E337" s="59" t="s">
        <v>1008</v>
      </c>
    </row>
    <row r="338">
      <c r="B338" s="61" t="s">
        <v>1009</v>
      </c>
      <c r="C338" s="64" t="s">
        <v>167</v>
      </c>
      <c r="D338" s="63" t="s">
        <v>423</v>
      </c>
      <c r="E338" s="59" t="s">
        <v>942</v>
      </c>
    </row>
    <row r="339">
      <c r="B339" s="61" t="s">
        <v>1010</v>
      </c>
      <c r="C339" s="68" t="s">
        <v>136</v>
      </c>
      <c r="D339" s="66" t="s">
        <v>92</v>
      </c>
      <c r="E339" s="59" t="s">
        <v>1011</v>
      </c>
    </row>
    <row r="340">
      <c r="B340" s="61" t="s">
        <v>1012</v>
      </c>
      <c r="C340" s="70" t="s">
        <v>447</v>
      </c>
      <c r="D340" s="63" t="s">
        <v>423</v>
      </c>
      <c r="E340" s="59" t="s">
        <v>1013</v>
      </c>
    </row>
    <row r="341">
      <c r="B341" s="61" t="s">
        <v>347</v>
      </c>
      <c r="C341" s="73" t="s">
        <v>423</v>
      </c>
      <c r="D341" s="77" t="s">
        <v>708</v>
      </c>
      <c r="E341" s="59" t="s">
        <v>1014</v>
      </c>
    </row>
    <row r="342">
      <c r="B342" s="61" t="s">
        <v>1015</v>
      </c>
      <c r="C342" s="75" t="s">
        <v>92</v>
      </c>
      <c r="D342" s="74" t="s">
        <v>136</v>
      </c>
      <c r="E342" s="59" t="s">
        <v>1016</v>
      </c>
    </row>
    <row r="343">
      <c r="B343" s="61" t="s">
        <v>186</v>
      </c>
      <c r="C343" s="71" t="s">
        <v>71</v>
      </c>
      <c r="D343" s="74" t="s">
        <v>136</v>
      </c>
      <c r="E343" s="59" t="s">
        <v>1017</v>
      </c>
    </row>
    <row r="344">
      <c r="B344" s="61" t="s">
        <v>737</v>
      </c>
      <c r="C344" s="70" t="s">
        <v>447</v>
      </c>
      <c r="D344" s="63" t="s">
        <v>423</v>
      </c>
      <c r="E344" s="59" t="s">
        <v>1018</v>
      </c>
    </row>
    <row r="345">
      <c r="B345" s="61" t="s">
        <v>1019</v>
      </c>
      <c r="C345" s="70" t="s">
        <v>447</v>
      </c>
      <c r="D345" s="77" t="s">
        <v>708</v>
      </c>
      <c r="E345" s="59" t="s">
        <v>1020</v>
      </c>
    </row>
    <row r="346">
      <c r="B346" s="61" t="s">
        <v>739</v>
      </c>
      <c r="C346" s="65" t="s">
        <v>120</v>
      </c>
      <c r="D346" s="63" t="s">
        <v>423</v>
      </c>
      <c r="E346" s="59" t="s">
        <v>947</v>
      </c>
    </row>
    <row r="347">
      <c r="B347" s="61" t="s">
        <v>286</v>
      </c>
      <c r="C347" s="65" t="s">
        <v>120</v>
      </c>
      <c r="D347" s="67" t="s">
        <v>167</v>
      </c>
      <c r="E347" s="59" t="s">
        <v>1021</v>
      </c>
    </row>
    <row r="348">
      <c r="B348" s="61" t="s">
        <v>1022</v>
      </c>
      <c r="C348" s="78" t="s">
        <v>911</v>
      </c>
      <c r="D348" s="77" t="s">
        <v>708</v>
      </c>
      <c r="E348" s="59" t="s">
        <v>1023</v>
      </c>
    </row>
    <row r="349">
      <c r="B349" s="54" t="s">
        <v>1024</v>
      </c>
      <c r="C349" s="54" t="s">
        <v>12</v>
      </c>
      <c r="D349" s="63" t="s">
        <v>423</v>
      </c>
      <c r="E349" s="59" t="s">
        <v>1025</v>
      </c>
    </row>
    <row r="350">
      <c r="B350" s="61" t="s">
        <v>1026</v>
      </c>
      <c r="C350" s="62" t="s">
        <v>708</v>
      </c>
      <c r="D350" s="70" t="s">
        <v>447</v>
      </c>
      <c r="E350" s="59" t="s">
        <v>942</v>
      </c>
    </row>
    <row r="351">
      <c r="B351" s="61" t="s">
        <v>210</v>
      </c>
      <c r="C351" s="71" t="s">
        <v>71</v>
      </c>
      <c r="D351" s="69" t="s">
        <v>120</v>
      </c>
      <c r="E351" s="59" t="s">
        <v>935</v>
      </c>
    </row>
    <row r="352">
      <c r="B352" s="61" t="s">
        <v>1027</v>
      </c>
      <c r="C352" s="62" t="s">
        <v>708</v>
      </c>
      <c r="D352" s="72" t="s">
        <v>911</v>
      </c>
      <c r="E352" s="59" t="s">
        <v>980</v>
      </c>
    </row>
    <row r="353">
      <c r="B353" s="61" t="s">
        <v>1028</v>
      </c>
      <c r="C353" s="70" t="s">
        <v>447</v>
      </c>
      <c r="D353" s="77" t="s">
        <v>708</v>
      </c>
      <c r="E353" s="59" t="s">
        <v>1029</v>
      </c>
    </row>
    <row r="354">
      <c r="B354" s="61" t="s">
        <v>317</v>
      </c>
      <c r="C354" s="64" t="s">
        <v>167</v>
      </c>
      <c r="D354" s="69" t="s">
        <v>120</v>
      </c>
      <c r="E354" s="59" t="s">
        <v>1030</v>
      </c>
    </row>
    <row r="355">
      <c r="B355" s="61" t="s">
        <v>288</v>
      </c>
      <c r="C355" s="62" t="s">
        <v>708</v>
      </c>
      <c r="D355" s="69" t="s">
        <v>120</v>
      </c>
      <c r="E355" s="59" t="s">
        <v>1031</v>
      </c>
    </row>
    <row r="356">
      <c r="B356" s="61" t="s">
        <v>1032</v>
      </c>
      <c r="C356" s="62" t="s">
        <v>708</v>
      </c>
      <c r="D356" s="72" t="s">
        <v>911</v>
      </c>
      <c r="E356" s="59" t="s">
        <v>980</v>
      </c>
    </row>
    <row r="357">
      <c r="B357" s="61" t="s">
        <v>1033</v>
      </c>
      <c r="C357" s="70" t="s">
        <v>447</v>
      </c>
      <c r="D357" s="63" t="s">
        <v>423</v>
      </c>
      <c r="E357" s="59" t="s">
        <v>1034</v>
      </c>
    </row>
    <row r="358">
      <c r="B358" s="61" t="s">
        <v>1035</v>
      </c>
      <c r="C358" s="68" t="s">
        <v>136</v>
      </c>
      <c r="D358" s="63" t="s">
        <v>423</v>
      </c>
      <c r="E358" s="59" t="s">
        <v>1036</v>
      </c>
    </row>
    <row r="359">
      <c r="B359" s="61" t="s">
        <v>1037</v>
      </c>
      <c r="C359" s="62" t="s">
        <v>708</v>
      </c>
      <c r="D359" s="70" t="s">
        <v>447</v>
      </c>
      <c r="E359" s="59" t="s">
        <v>942</v>
      </c>
    </row>
    <row r="360">
      <c r="B360" s="61" t="s">
        <v>1038</v>
      </c>
      <c r="C360" s="64" t="s">
        <v>167</v>
      </c>
      <c r="D360" s="63" t="s">
        <v>423</v>
      </c>
      <c r="E360" s="59" t="s">
        <v>942</v>
      </c>
    </row>
    <row r="361">
      <c r="B361" s="61" t="s">
        <v>1039</v>
      </c>
      <c r="C361" s="73" t="s">
        <v>423</v>
      </c>
      <c r="D361" s="67" t="s">
        <v>167</v>
      </c>
      <c r="E361" s="59" t="s">
        <v>942</v>
      </c>
    </row>
    <row r="362">
      <c r="B362" s="61" t="s">
        <v>1040</v>
      </c>
      <c r="C362" s="73" t="s">
        <v>423</v>
      </c>
      <c r="D362" s="70" t="s">
        <v>447</v>
      </c>
      <c r="E362" s="59" t="s">
        <v>942</v>
      </c>
    </row>
    <row r="363">
      <c r="B363" s="61" t="s">
        <v>74</v>
      </c>
      <c r="C363" s="70" t="s">
        <v>447</v>
      </c>
      <c r="D363" s="67" t="s">
        <v>167</v>
      </c>
      <c r="E363" s="59" t="s">
        <v>1041</v>
      </c>
    </row>
    <row r="364">
      <c r="B364" s="61" t="s">
        <v>1042</v>
      </c>
      <c r="C364" s="70" t="s">
        <v>447</v>
      </c>
      <c r="D364" s="72" t="s">
        <v>911</v>
      </c>
      <c r="E364" s="59" t="s">
        <v>980</v>
      </c>
    </row>
    <row r="365">
      <c r="B365" s="61" t="s">
        <v>1043</v>
      </c>
      <c r="C365" s="62" t="s">
        <v>708</v>
      </c>
      <c r="D365" s="70" t="s">
        <v>447</v>
      </c>
      <c r="E365" s="59" t="s">
        <v>942</v>
      </c>
    </row>
    <row r="366">
      <c r="B366" s="61" t="s">
        <v>1044</v>
      </c>
      <c r="C366" s="65" t="s">
        <v>120</v>
      </c>
      <c r="D366" s="67" t="s">
        <v>167</v>
      </c>
      <c r="E366" s="59" t="s">
        <v>969</v>
      </c>
    </row>
    <row r="367">
      <c r="B367" s="61" t="s">
        <v>1045</v>
      </c>
      <c r="C367" s="62" t="s">
        <v>708</v>
      </c>
      <c r="D367" s="72" t="s">
        <v>911</v>
      </c>
      <c r="E367" s="59" t="s">
        <v>980</v>
      </c>
    </row>
    <row r="368">
      <c r="B368" s="61" t="s">
        <v>1046</v>
      </c>
      <c r="C368" s="62" t="s">
        <v>708</v>
      </c>
      <c r="D368" s="70" t="s">
        <v>447</v>
      </c>
      <c r="E368" s="59" t="s">
        <v>947</v>
      </c>
    </row>
    <row r="369">
      <c r="B369" s="61" t="s">
        <v>172</v>
      </c>
      <c r="C369" s="71" t="s">
        <v>71</v>
      </c>
      <c r="D369" s="66" t="s">
        <v>92</v>
      </c>
      <c r="E369" s="59" t="s">
        <v>935</v>
      </c>
    </row>
    <row r="370">
      <c r="B370" s="61" t="s">
        <v>158</v>
      </c>
      <c r="C370" s="68" t="s">
        <v>136</v>
      </c>
      <c r="D370" s="67" t="s">
        <v>167</v>
      </c>
      <c r="E370" s="59" t="s">
        <v>942</v>
      </c>
    </row>
    <row r="371">
      <c r="B371" s="61" t="s">
        <v>1047</v>
      </c>
      <c r="C371" s="62" t="s">
        <v>708</v>
      </c>
      <c r="D371" s="72" t="s">
        <v>911</v>
      </c>
      <c r="E371" s="59" t="s">
        <v>1048</v>
      </c>
    </row>
    <row r="372">
      <c r="B372" s="61" t="s">
        <v>349</v>
      </c>
      <c r="C372" s="70" t="s">
        <v>447</v>
      </c>
      <c r="D372" s="63" t="s">
        <v>423</v>
      </c>
      <c r="E372" s="59" t="s">
        <v>942</v>
      </c>
    </row>
    <row r="373">
      <c r="B373" s="61" t="s">
        <v>1049</v>
      </c>
      <c r="C373" s="70" t="s">
        <v>447</v>
      </c>
      <c r="D373" s="77" t="s">
        <v>708</v>
      </c>
      <c r="E373" s="59" t="s">
        <v>1050</v>
      </c>
    </row>
    <row r="374">
      <c r="B374" s="61" t="s">
        <v>322</v>
      </c>
      <c r="C374" s="75" t="s">
        <v>92</v>
      </c>
      <c r="D374" s="69" t="s">
        <v>120</v>
      </c>
      <c r="E374" s="59" t="s">
        <v>1008</v>
      </c>
    </row>
    <row r="375">
      <c r="B375" s="61" t="s">
        <v>1051</v>
      </c>
      <c r="C375" s="62" t="s">
        <v>708</v>
      </c>
      <c r="D375" s="72" t="s">
        <v>911</v>
      </c>
      <c r="E375" s="59" t="s">
        <v>980</v>
      </c>
    </row>
    <row r="376">
      <c r="B376" s="61" t="s">
        <v>1052</v>
      </c>
      <c r="C376" s="75" t="s">
        <v>92</v>
      </c>
      <c r="D376" s="69" t="s">
        <v>120</v>
      </c>
      <c r="E376" s="59" t="s">
        <v>1008</v>
      </c>
    </row>
    <row r="377">
      <c r="B377" s="54" t="s">
        <v>1053</v>
      </c>
      <c r="C377" s="54" t="s">
        <v>12</v>
      </c>
      <c r="D377" s="69" t="s">
        <v>120</v>
      </c>
      <c r="E377" s="59" t="s">
        <v>1054</v>
      </c>
    </row>
    <row r="378">
      <c r="A378" s="51" t="s">
        <v>1055</v>
      </c>
      <c r="B378" s="61" t="s">
        <v>422</v>
      </c>
      <c r="C378" s="64" t="s">
        <v>167</v>
      </c>
      <c r="D378" s="63" t="s">
        <v>423</v>
      </c>
      <c r="E378" s="59" t="s">
        <v>1056</v>
      </c>
    </row>
    <row r="379">
      <c r="B379" s="61" t="s">
        <v>1057</v>
      </c>
      <c r="C379" s="68" t="s">
        <v>136</v>
      </c>
      <c r="D379" s="67" t="s">
        <v>167</v>
      </c>
      <c r="E379" s="59" t="s">
        <v>1058</v>
      </c>
    </row>
    <row r="380">
      <c r="B380" s="61" t="s">
        <v>1059</v>
      </c>
      <c r="C380" s="71" t="s">
        <v>71</v>
      </c>
      <c r="D380" s="66" t="s">
        <v>92</v>
      </c>
      <c r="E380" s="59" t="s">
        <v>1060</v>
      </c>
    </row>
    <row r="381">
      <c r="B381" s="61" t="s">
        <v>1061</v>
      </c>
      <c r="C381" s="75" t="s">
        <v>92</v>
      </c>
      <c r="D381" s="69" t="s">
        <v>120</v>
      </c>
      <c r="E381" s="59" t="s">
        <v>1062</v>
      </c>
    </row>
    <row r="382">
      <c r="B382" s="61" t="s">
        <v>1063</v>
      </c>
      <c r="C382" s="64" t="s">
        <v>167</v>
      </c>
      <c r="D382" s="63" t="s">
        <v>423</v>
      </c>
      <c r="E382" s="59" t="s">
        <v>1064</v>
      </c>
    </row>
    <row r="383">
      <c r="B383" s="61" t="s">
        <v>1065</v>
      </c>
      <c r="C383" s="68" t="s">
        <v>136</v>
      </c>
      <c r="D383" s="79" t="s">
        <v>447</v>
      </c>
      <c r="E383" s="59" t="s">
        <v>1066</v>
      </c>
    </row>
    <row r="384">
      <c r="B384" s="54" t="s">
        <v>1067</v>
      </c>
      <c r="C384" s="66" t="s">
        <v>92</v>
      </c>
      <c r="D384" s="76" t="s">
        <v>71</v>
      </c>
      <c r="E384" s="59" t="s">
        <v>1068</v>
      </c>
    </row>
    <row r="385">
      <c r="B385" s="61" t="s">
        <v>1069</v>
      </c>
      <c r="C385" s="73" t="s">
        <v>423</v>
      </c>
      <c r="D385" s="79" t="s">
        <v>447</v>
      </c>
      <c r="E385" s="59" t="s">
        <v>1066</v>
      </c>
    </row>
    <row r="386">
      <c r="B386" s="61" t="s">
        <v>1070</v>
      </c>
      <c r="C386" s="65" t="s">
        <v>120</v>
      </c>
      <c r="D386" s="66" t="s">
        <v>92</v>
      </c>
      <c r="E386" s="59" t="s">
        <v>1071</v>
      </c>
    </row>
    <row r="387">
      <c r="B387" s="61" t="s">
        <v>1072</v>
      </c>
      <c r="C387" s="73" t="s">
        <v>423</v>
      </c>
      <c r="D387" s="79" t="s">
        <v>447</v>
      </c>
      <c r="E387" s="59" t="s">
        <v>1066</v>
      </c>
    </row>
    <row r="388">
      <c r="B388" s="61" t="s">
        <v>1073</v>
      </c>
      <c r="C388" s="68" t="s">
        <v>136</v>
      </c>
      <c r="D388" s="67" t="s">
        <v>167</v>
      </c>
      <c r="E388" s="59" t="s">
        <v>1074</v>
      </c>
    </row>
    <row r="389">
      <c r="B389" s="61" t="s">
        <v>1075</v>
      </c>
      <c r="C389" s="65" t="s">
        <v>120</v>
      </c>
      <c r="D389" s="74" t="s">
        <v>136</v>
      </c>
      <c r="E389" s="59" t="s">
        <v>1076</v>
      </c>
    </row>
    <row r="390">
      <c r="B390" s="61" t="s">
        <v>1077</v>
      </c>
      <c r="C390" s="71" t="s">
        <v>71</v>
      </c>
      <c r="D390" s="66" t="s">
        <v>92</v>
      </c>
      <c r="E390" s="59" t="s">
        <v>1078</v>
      </c>
    </row>
    <row r="391">
      <c r="B391" s="61" t="s">
        <v>1079</v>
      </c>
      <c r="C391" s="80" t="s">
        <v>447</v>
      </c>
      <c r="D391" s="63" t="s">
        <v>423</v>
      </c>
      <c r="E391" s="59" t="s">
        <v>1080</v>
      </c>
    </row>
    <row r="392">
      <c r="B392" s="61" t="s">
        <v>1081</v>
      </c>
      <c r="C392" s="64" t="s">
        <v>167</v>
      </c>
      <c r="D392" s="63" t="s">
        <v>423</v>
      </c>
      <c r="E392" s="59" t="s">
        <v>1082</v>
      </c>
    </row>
    <row r="393">
      <c r="B393" s="61" t="s">
        <v>1083</v>
      </c>
      <c r="C393" s="64" t="s">
        <v>167</v>
      </c>
      <c r="D393" s="63" t="s">
        <v>423</v>
      </c>
      <c r="E393" s="59" t="s">
        <v>1082</v>
      </c>
    </row>
    <row r="394">
      <c r="B394" s="61" t="s">
        <v>1084</v>
      </c>
      <c r="C394" s="64" t="s">
        <v>167</v>
      </c>
      <c r="D394" s="63" t="s">
        <v>423</v>
      </c>
      <c r="E394" s="59" t="s">
        <v>1082</v>
      </c>
    </row>
    <row r="395">
      <c r="B395" s="61" t="s">
        <v>1085</v>
      </c>
      <c r="C395" s="73" t="s">
        <v>423</v>
      </c>
      <c r="D395" s="74" t="s">
        <v>136</v>
      </c>
      <c r="E395" s="59" t="s">
        <v>1086</v>
      </c>
    </row>
    <row r="396">
      <c r="B396" s="61" t="s">
        <v>1087</v>
      </c>
      <c r="C396" s="65" t="s">
        <v>120</v>
      </c>
      <c r="D396" s="74" t="s">
        <v>136</v>
      </c>
      <c r="E396" s="59" t="s">
        <v>1088</v>
      </c>
    </row>
    <row r="397">
      <c r="A397" s="81" t="s">
        <v>1089</v>
      </c>
      <c r="B397" s="61" t="s">
        <v>1090</v>
      </c>
      <c r="C397" s="80" t="s">
        <v>447</v>
      </c>
      <c r="D397" s="63" t="s">
        <v>423</v>
      </c>
      <c r="E397" s="59" t="s">
        <v>1082</v>
      </c>
    </row>
    <row r="398">
      <c r="B398" s="61" t="s">
        <v>1091</v>
      </c>
      <c r="C398" s="54" t="s">
        <v>12</v>
      </c>
      <c r="D398" s="74" t="s">
        <v>136</v>
      </c>
      <c r="E398" s="59" t="s">
        <v>1092</v>
      </c>
    </row>
    <row r="399">
      <c r="B399" s="61" t="s">
        <v>1093</v>
      </c>
      <c r="C399" s="64" t="s">
        <v>167</v>
      </c>
      <c r="D399" s="79" t="s">
        <v>447</v>
      </c>
      <c r="E399" s="59" t="s">
        <v>1094</v>
      </c>
    </row>
    <row r="400">
      <c r="B400" s="61" t="s">
        <v>1095</v>
      </c>
      <c r="C400" s="73" t="s">
        <v>423</v>
      </c>
      <c r="D400" s="67" t="s">
        <v>167</v>
      </c>
      <c r="E400" s="59" t="s">
        <v>1096</v>
      </c>
    </row>
    <row r="401">
      <c r="B401" s="61" t="s">
        <v>1097</v>
      </c>
      <c r="C401" s="68" t="s">
        <v>136</v>
      </c>
      <c r="D401" s="63" t="s">
        <v>423</v>
      </c>
      <c r="E401" s="59" t="s">
        <v>1098</v>
      </c>
    </row>
    <row r="402">
      <c r="B402" s="61" t="s">
        <v>859</v>
      </c>
      <c r="C402" s="68" t="s">
        <v>136</v>
      </c>
      <c r="D402" s="66" t="s">
        <v>92</v>
      </c>
      <c r="E402" s="59" t="s">
        <v>1099</v>
      </c>
    </row>
    <row r="403">
      <c r="B403" s="61" t="s">
        <v>849</v>
      </c>
      <c r="C403" s="54" t="s">
        <v>12</v>
      </c>
      <c r="D403" s="66" t="s">
        <v>92</v>
      </c>
      <c r="E403" s="59" t="s">
        <v>1100</v>
      </c>
    </row>
    <row r="404">
      <c r="B404" s="61" t="s">
        <v>861</v>
      </c>
      <c r="C404" s="65" t="s">
        <v>120</v>
      </c>
      <c r="D404" s="74" t="s">
        <v>136</v>
      </c>
      <c r="E404" s="59" t="s">
        <v>1101</v>
      </c>
    </row>
    <row r="405">
      <c r="B405" s="61" t="s">
        <v>1102</v>
      </c>
      <c r="C405" s="73" t="s">
        <v>423</v>
      </c>
      <c r="D405" s="79" t="s">
        <v>447</v>
      </c>
      <c r="E405" s="59" t="s">
        <v>1103</v>
      </c>
    </row>
    <row r="406">
      <c r="B406" s="61" t="s">
        <v>1104</v>
      </c>
      <c r="C406" s="64" t="s">
        <v>167</v>
      </c>
      <c r="D406" s="63" t="s">
        <v>423</v>
      </c>
      <c r="E406" s="59" t="s">
        <v>1105</v>
      </c>
    </row>
    <row r="407">
      <c r="B407" s="61" t="s">
        <v>891</v>
      </c>
      <c r="C407" s="64" t="s">
        <v>167</v>
      </c>
      <c r="D407" s="79" t="s">
        <v>447</v>
      </c>
      <c r="E407" s="59" t="s">
        <v>1106</v>
      </c>
    </row>
    <row r="408">
      <c r="B408" s="61" t="s">
        <v>1107</v>
      </c>
      <c r="C408" s="73" t="s">
        <v>423</v>
      </c>
      <c r="D408" s="77" t="s">
        <v>708</v>
      </c>
      <c r="E408" s="59" t="s">
        <v>1108</v>
      </c>
    </row>
    <row r="409">
      <c r="B409" s="61" t="s">
        <v>1109</v>
      </c>
      <c r="C409" s="68" t="s">
        <v>136</v>
      </c>
      <c r="D409" s="67" t="s">
        <v>167</v>
      </c>
      <c r="E409" s="59" t="s">
        <v>1110</v>
      </c>
    </row>
    <row r="410">
      <c r="B410" s="61" t="s">
        <v>1111</v>
      </c>
      <c r="C410" s="73" t="s">
        <v>423</v>
      </c>
      <c r="D410" s="79" t="s">
        <v>447</v>
      </c>
      <c r="E410" s="59" t="s">
        <v>1112</v>
      </c>
    </row>
    <row r="411">
      <c r="B411" s="61" t="s">
        <v>1113</v>
      </c>
      <c r="C411" s="75" t="s">
        <v>92</v>
      </c>
      <c r="D411" s="69" t="s">
        <v>120</v>
      </c>
      <c r="E411" s="59" t="s">
        <v>1114</v>
      </c>
    </row>
    <row r="412">
      <c r="B412" s="61" t="s">
        <v>1115</v>
      </c>
      <c r="C412" s="68" t="s">
        <v>136</v>
      </c>
      <c r="D412" s="69" t="s">
        <v>120</v>
      </c>
      <c r="E412" s="59" t="s">
        <v>1116</v>
      </c>
    </row>
    <row r="413">
      <c r="B413" s="61" t="s">
        <v>1117</v>
      </c>
      <c r="C413" s="54" t="s">
        <v>12</v>
      </c>
      <c r="D413" s="67" t="s">
        <v>167</v>
      </c>
      <c r="E413" s="59" t="s">
        <v>1118</v>
      </c>
    </row>
    <row r="414">
      <c r="B414" s="61" t="s">
        <v>1119</v>
      </c>
      <c r="C414" s="68" t="s">
        <v>136</v>
      </c>
      <c r="D414" s="69" t="s">
        <v>120</v>
      </c>
      <c r="E414" s="59" t="s">
        <v>1120</v>
      </c>
    </row>
    <row r="415">
      <c r="B415" s="61" t="s">
        <v>1121</v>
      </c>
      <c r="C415" s="80" t="s">
        <v>447</v>
      </c>
      <c r="D415" s="63" t="s">
        <v>423</v>
      </c>
      <c r="E415" s="59" t="s">
        <v>1122</v>
      </c>
    </row>
    <row r="416">
      <c r="B416" s="61" t="s">
        <v>1123</v>
      </c>
      <c r="C416" s="65" t="s">
        <v>120</v>
      </c>
      <c r="D416" s="74" t="s">
        <v>136</v>
      </c>
      <c r="E416" s="59" t="s">
        <v>1124</v>
      </c>
    </row>
    <row r="417">
      <c r="B417" s="61" t="s">
        <v>756</v>
      </c>
      <c r="C417" s="64" t="s">
        <v>167</v>
      </c>
      <c r="D417" s="69" t="s">
        <v>120</v>
      </c>
      <c r="E417" s="59" t="s">
        <v>1125</v>
      </c>
    </row>
    <row r="418">
      <c r="B418" s="61" t="s">
        <v>1126</v>
      </c>
      <c r="C418" s="65" t="s">
        <v>120</v>
      </c>
      <c r="D418" s="74" t="s">
        <v>136</v>
      </c>
      <c r="E418" s="59" t="s">
        <v>1112</v>
      </c>
    </row>
    <row r="419">
      <c r="B419" s="61" t="s">
        <v>1127</v>
      </c>
      <c r="C419" s="68" t="s">
        <v>136</v>
      </c>
      <c r="D419" s="63" t="s">
        <v>423</v>
      </c>
      <c r="E419" s="59" t="s">
        <v>1128</v>
      </c>
    </row>
    <row r="420">
      <c r="B420" s="61" t="s">
        <v>1129</v>
      </c>
      <c r="C420" s="68" t="s">
        <v>136</v>
      </c>
      <c r="D420" s="63" t="s">
        <v>423</v>
      </c>
      <c r="E420" s="59" t="s">
        <v>1130</v>
      </c>
    </row>
    <row r="421">
      <c r="B421" s="61" t="s">
        <v>1131</v>
      </c>
      <c r="C421" s="73" t="s">
        <v>423</v>
      </c>
      <c r="D421" s="74" t="s">
        <v>136</v>
      </c>
      <c r="E421" s="59" t="s">
        <v>1132</v>
      </c>
    </row>
    <row r="422">
      <c r="B422" s="61" t="s">
        <v>556</v>
      </c>
      <c r="C422" s="68" t="s">
        <v>136</v>
      </c>
      <c r="D422" s="69" t="s">
        <v>120</v>
      </c>
      <c r="E422" s="59" t="s">
        <v>1133</v>
      </c>
    </row>
    <row r="423">
      <c r="B423" s="61" t="s">
        <v>1134</v>
      </c>
      <c r="C423" s="65" t="s">
        <v>120</v>
      </c>
      <c r="D423" s="66" t="s">
        <v>92</v>
      </c>
      <c r="E423" s="59" t="s">
        <v>1135</v>
      </c>
    </row>
    <row r="424">
      <c r="B424" s="61" t="s">
        <v>1136</v>
      </c>
      <c r="C424" s="64" t="s">
        <v>167</v>
      </c>
      <c r="D424" s="79" t="s">
        <v>447</v>
      </c>
      <c r="E424" s="59" t="s">
        <v>1137</v>
      </c>
    </row>
    <row r="425">
      <c r="B425" s="61" t="s">
        <v>1138</v>
      </c>
      <c r="C425" s="73" t="s">
        <v>423</v>
      </c>
      <c r="D425" s="79" t="s">
        <v>447</v>
      </c>
      <c r="E425" s="59" t="s">
        <v>1139</v>
      </c>
    </row>
    <row r="426">
      <c r="B426" s="61" t="s">
        <v>1140</v>
      </c>
      <c r="C426" s="73" t="s">
        <v>423</v>
      </c>
      <c r="D426" s="79" t="s">
        <v>447</v>
      </c>
      <c r="E426" s="59" t="s">
        <v>1141</v>
      </c>
    </row>
    <row r="427">
      <c r="B427" s="61" t="s">
        <v>1142</v>
      </c>
      <c r="C427" s="71" t="s">
        <v>71</v>
      </c>
      <c r="D427" s="74" t="s">
        <v>136</v>
      </c>
      <c r="E427" s="59" t="s">
        <v>1143</v>
      </c>
    </row>
    <row r="428">
      <c r="B428" s="61" t="s">
        <v>1144</v>
      </c>
      <c r="C428" s="65" t="s">
        <v>120</v>
      </c>
      <c r="D428" s="74" t="s">
        <v>136</v>
      </c>
      <c r="E428" s="59" t="s">
        <v>1145</v>
      </c>
    </row>
    <row r="429">
      <c r="B429" s="61" t="s">
        <v>1146</v>
      </c>
      <c r="C429" s="80" t="s">
        <v>447</v>
      </c>
      <c r="D429" s="63" t="s">
        <v>423</v>
      </c>
      <c r="E429" s="59" t="s">
        <v>1147</v>
      </c>
    </row>
    <row r="430">
      <c r="B430" s="61" t="s">
        <v>1148</v>
      </c>
      <c r="C430" s="75" t="s">
        <v>92</v>
      </c>
      <c r="D430" s="69" t="s">
        <v>120</v>
      </c>
      <c r="E430" s="59" t="s">
        <v>1149</v>
      </c>
    </row>
    <row r="431">
      <c r="B431" s="61" t="s">
        <v>887</v>
      </c>
      <c r="C431" s="80" t="s">
        <v>447</v>
      </c>
      <c r="D431" s="74" t="s">
        <v>136</v>
      </c>
      <c r="E431" s="59" t="s">
        <v>1150</v>
      </c>
    </row>
    <row r="432">
      <c r="B432" s="61" t="s">
        <v>1151</v>
      </c>
      <c r="C432" s="73" t="s">
        <v>423</v>
      </c>
      <c r="D432" s="67" t="s">
        <v>167</v>
      </c>
      <c r="E432" s="59" t="s">
        <v>1152</v>
      </c>
    </row>
    <row r="433">
      <c r="B433" s="61" t="s">
        <v>1153</v>
      </c>
      <c r="C433" s="80" t="s">
        <v>447</v>
      </c>
      <c r="D433" s="63" t="s">
        <v>423</v>
      </c>
      <c r="E433" s="59" t="s">
        <v>1154</v>
      </c>
    </row>
    <row r="434">
      <c r="B434" s="61" t="s">
        <v>1155</v>
      </c>
      <c r="C434" s="73" t="s">
        <v>423</v>
      </c>
      <c r="D434" s="79" t="s">
        <v>447</v>
      </c>
      <c r="E434" s="59" t="s">
        <v>1036</v>
      </c>
    </row>
    <row r="435">
      <c r="B435" s="61" t="s">
        <v>1156</v>
      </c>
      <c r="C435" s="71" t="s">
        <v>71</v>
      </c>
      <c r="D435" s="66" t="s">
        <v>92</v>
      </c>
      <c r="E435" s="59" t="s">
        <v>1157</v>
      </c>
    </row>
    <row r="436">
      <c r="B436" s="61" t="s">
        <v>1158</v>
      </c>
      <c r="C436" s="73" t="s">
        <v>423</v>
      </c>
      <c r="D436" s="79" t="s">
        <v>447</v>
      </c>
      <c r="E436" s="59" t="s">
        <v>1036</v>
      </c>
    </row>
    <row r="437">
      <c r="B437" s="61" t="s">
        <v>1159</v>
      </c>
      <c r="C437" s="68" t="s">
        <v>136</v>
      </c>
      <c r="D437" s="69" t="s">
        <v>120</v>
      </c>
      <c r="E437" s="59" t="s">
        <v>1160</v>
      </c>
    </row>
    <row r="438">
      <c r="B438" s="61" t="s">
        <v>1161</v>
      </c>
      <c r="C438" s="73" t="s">
        <v>423</v>
      </c>
      <c r="D438" s="79" t="s">
        <v>447</v>
      </c>
      <c r="E438" s="59" t="s">
        <v>1036</v>
      </c>
    </row>
    <row r="439">
      <c r="B439" s="61" t="s">
        <v>1162</v>
      </c>
      <c r="C439" s="64" t="s">
        <v>167</v>
      </c>
      <c r="D439" s="79" t="s">
        <v>447</v>
      </c>
      <c r="E439" s="59" t="s">
        <v>1163</v>
      </c>
    </row>
    <row r="440">
      <c r="A440" s="82" t="s">
        <v>1164</v>
      </c>
      <c r="B440" s="61" t="s">
        <v>1165</v>
      </c>
      <c r="C440" s="66" t="s">
        <v>92</v>
      </c>
      <c r="D440" s="71" t="s">
        <v>71</v>
      </c>
      <c r="E440" s="59" t="s">
        <v>1166</v>
      </c>
    </row>
    <row r="441">
      <c r="B441" s="61" t="s">
        <v>1167</v>
      </c>
      <c r="C441" s="68" t="s">
        <v>136</v>
      </c>
      <c r="D441" s="69" t="s">
        <v>120</v>
      </c>
      <c r="E441" s="59" t="s">
        <v>1168</v>
      </c>
    </row>
    <row r="442">
      <c r="B442" s="61" t="s">
        <v>1169</v>
      </c>
      <c r="C442" s="71" t="s">
        <v>71</v>
      </c>
      <c r="D442" s="66" t="s">
        <v>92</v>
      </c>
      <c r="E442" s="59" t="s">
        <v>1170</v>
      </c>
    </row>
    <row r="443">
      <c r="B443" s="61" t="s">
        <v>1171</v>
      </c>
      <c r="C443" s="66" t="s">
        <v>92</v>
      </c>
      <c r="D443" s="71" t="s">
        <v>71</v>
      </c>
      <c r="E443" s="59" t="s">
        <v>1172</v>
      </c>
    </row>
    <row r="444">
      <c r="B444" s="61" t="s">
        <v>1173</v>
      </c>
      <c r="C444" s="66" t="s">
        <v>92</v>
      </c>
      <c r="D444" s="69" t="s">
        <v>120</v>
      </c>
      <c r="E444" s="59" t="s">
        <v>1174</v>
      </c>
    </row>
    <row r="445">
      <c r="B445" s="61" t="s">
        <v>1175</v>
      </c>
      <c r="C445" s="83" t="s">
        <v>12</v>
      </c>
      <c r="D445" s="74" t="s">
        <v>136</v>
      </c>
      <c r="E445" s="59" t="s">
        <v>1176</v>
      </c>
    </row>
    <row r="446">
      <c r="A446" s="84"/>
      <c r="B446" s="85"/>
      <c r="C446" s="61"/>
      <c r="D446" s="54"/>
      <c r="E446" s="59"/>
    </row>
    <row r="447" outlineLevel="1">
      <c r="A447" s="86" t="s">
        <v>1177</v>
      </c>
    </row>
    <row r="448" outlineLevel="1">
      <c r="A448" s="60"/>
      <c r="B448" s="56" t="s">
        <v>54</v>
      </c>
      <c r="C448" s="57" t="s">
        <v>774</v>
      </c>
      <c r="D448" s="57" t="s">
        <v>919</v>
      </c>
      <c r="E448" s="58" t="s">
        <v>421</v>
      </c>
    </row>
    <row r="449" ht="15.75" customHeight="1" outlineLevel="1">
      <c r="A449" s="82" t="s">
        <v>386</v>
      </c>
      <c r="B449" s="83" t="s">
        <v>1178</v>
      </c>
      <c r="C449" s="83" t="s">
        <v>12</v>
      </c>
      <c r="D449" s="83" t="s">
        <v>71</v>
      </c>
      <c r="E449" s="87" t="s">
        <v>1179</v>
      </c>
    </row>
    <row r="450" ht="15.75" customHeight="1" outlineLevel="1">
      <c r="B450" s="83" t="s">
        <v>1180</v>
      </c>
      <c r="C450" s="68" t="s">
        <v>136</v>
      </c>
      <c r="D450" s="83" t="s">
        <v>120</v>
      </c>
      <c r="E450" s="87" t="s">
        <v>1181</v>
      </c>
    </row>
    <row r="451" ht="15.75" customHeight="1" outlineLevel="1">
      <c r="A451" s="81" t="s">
        <v>1182</v>
      </c>
      <c r="B451" s="83" t="s">
        <v>1183</v>
      </c>
      <c r="C451" s="83" t="s">
        <v>12</v>
      </c>
      <c r="D451" s="83" t="s">
        <v>120</v>
      </c>
      <c r="E451" s="87" t="s">
        <v>1184</v>
      </c>
    </row>
    <row r="452" outlineLevel="1">
      <c r="A452" s="88" t="s">
        <v>393</v>
      </c>
      <c r="B452" s="54" t="s">
        <v>765</v>
      </c>
      <c r="C452" s="83" t="s">
        <v>12</v>
      </c>
      <c r="D452" s="76" t="s">
        <v>71</v>
      </c>
      <c r="E452" s="59" t="s">
        <v>1185</v>
      </c>
    </row>
    <row r="453" outlineLevel="1">
      <c r="B453" s="61" t="s">
        <v>1186</v>
      </c>
      <c r="C453" s="68" t="s">
        <v>136</v>
      </c>
      <c r="D453" s="63" t="s">
        <v>423</v>
      </c>
      <c r="E453" s="59" t="s">
        <v>1187</v>
      </c>
    </row>
    <row r="454" outlineLevel="1">
      <c r="B454" s="61" t="s">
        <v>1188</v>
      </c>
      <c r="C454" s="68" t="s">
        <v>136</v>
      </c>
      <c r="D454" s="63" t="s">
        <v>423</v>
      </c>
      <c r="E454" s="59" t="s">
        <v>1187</v>
      </c>
    </row>
    <row r="455" outlineLevel="1">
      <c r="B455" s="61" t="s">
        <v>1189</v>
      </c>
      <c r="C455" s="64" t="s">
        <v>167</v>
      </c>
      <c r="D455" s="70" t="s">
        <v>447</v>
      </c>
      <c r="E455" s="59" t="s">
        <v>1190</v>
      </c>
    </row>
    <row r="456" outlineLevel="1">
      <c r="B456" s="61" t="s">
        <v>1191</v>
      </c>
      <c r="C456" s="64" t="s">
        <v>167</v>
      </c>
      <c r="D456" s="70" t="s">
        <v>447</v>
      </c>
      <c r="E456" s="59" t="s">
        <v>1190</v>
      </c>
    </row>
    <row r="457" outlineLevel="1">
      <c r="B457" s="61" t="s">
        <v>1192</v>
      </c>
      <c r="C457" s="64" t="s">
        <v>167</v>
      </c>
      <c r="D457" s="70" t="s">
        <v>447</v>
      </c>
      <c r="E457" s="59" t="s">
        <v>1190</v>
      </c>
    </row>
    <row r="458" outlineLevel="1">
      <c r="B458" s="61" t="s">
        <v>1193</v>
      </c>
      <c r="C458" s="64" t="s">
        <v>167</v>
      </c>
      <c r="D458" s="70" t="s">
        <v>447</v>
      </c>
      <c r="E458" s="59" t="s">
        <v>1190</v>
      </c>
    </row>
    <row r="459" outlineLevel="1">
      <c r="B459" s="61" t="s">
        <v>639</v>
      </c>
      <c r="C459" s="64" t="s">
        <v>167</v>
      </c>
      <c r="D459" s="70" t="s">
        <v>447</v>
      </c>
      <c r="E459" s="59" t="s">
        <v>1190</v>
      </c>
    </row>
    <row r="460" outlineLevel="1">
      <c r="B460" s="61" t="s">
        <v>1194</v>
      </c>
      <c r="C460" s="64" t="s">
        <v>167</v>
      </c>
      <c r="D460" s="70" t="s">
        <v>447</v>
      </c>
      <c r="E460" s="59" t="s">
        <v>1190</v>
      </c>
    </row>
    <row r="461" outlineLevel="1">
      <c r="B461" s="61" t="s">
        <v>745</v>
      </c>
      <c r="C461" s="75" t="s">
        <v>92</v>
      </c>
      <c r="D461" s="74" t="s">
        <v>136</v>
      </c>
      <c r="E461" s="59" t="s">
        <v>1195</v>
      </c>
    </row>
    <row r="462" outlineLevel="1">
      <c r="B462" s="61" t="s">
        <v>1196</v>
      </c>
      <c r="C462" s="65" t="s">
        <v>120</v>
      </c>
      <c r="D462" s="67" t="s">
        <v>167</v>
      </c>
      <c r="E462" s="59" t="s">
        <v>1195</v>
      </c>
    </row>
    <row r="463" outlineLevel="1">
      <c r="B463" s="61" t="s">
        <v>1197</v>
      </c>
      <c r="C463" s="65" t="s">
        <v>120</v>
      </c>
      <c r="D463" s="67" t="s">
        <v>167</v>
      </c>
      <c r="E463" s="59" t="s">
        <v>1195</v>
      </c>
    </row>
    <row r="464" outlineLevel="1">
      <c r="B464" s="61" t="s">
        <v>1198</v>
      </c>
      <c r="C464" s="66" t="s">
        <v>92</v>
      </c>
      <c r="D464" s="74" t="s">
        <v>120</v>
      </c>
      <c r="E464" s="59" t="s">
        <v>1199</v>
      </c>
    </row>
    <row r="465" outlineLevel="1">
      <c r="B465" s="54" t="s">
        <v>1200</v>
      </c>
      <c r="C465" s="76" t="s">
        <v>71</v>
      </c>
      <c r="D465" s="66" t="s">
        <v>92</v>
      </c>
      <c r="E465" s="59" t="s">
        <v>1199</v>
      </c>
    </row>
    <row r="466" outlineLevel="1">
      <c r="B466" s="61" t="s">
        <v>437</v>
      </c>
      <c r="C466" s="75" t="s">
        <v>92</v>
      </c>
      <c r="D466" s="69" t="s">
        <v>120</v>
      </c>
      <c r="E466" s="59" t="s">
        <v>1199</v>
      </c>
    </row>
    <row r="467" outlineLevel="1">
      <c r="B467" s="61" t="s">
        <v>747</v>
      </c>
      <c r="C467" s="68" t="s">
        <v>136</v>
      </c>
      <c r="D467" s="67" t="s">
        <v>167</v>
      </c>
      <c r="E467" s="59" t="s">
        <v>1199</v>
      </c>
    </row>
    <row r="468" outlineLevel="1">
      <c r="B468" s="61" t="s">
        <v>1201</v>
      </c>
      <c r="C468" s="71" t="s">
        <v>71</v>
      </c>
      <c r="D468" s="66" t="s">
        <v>92</v>
      </c>
      <c r="E468" s="59" t="s">
        <v>1199</v>
      </c>
    </row>
    <row r="469" outlineLevel="1">
      <c r="B469" s="61" t="s">
        <v>1202</v>
      </c>
      <c r="C469" s="68" t="s">
        <v>136</v>
      </c>
      <c r="D469" s="67" t="s">
        <v>167</v>
      </c>
      <c r="E469" s="59" t="s">
        <v>1199</v>
      </c>
    </row>
    <row r="470" outlineLevel="1">
      <c r="B470" s="61" t="s">
        <v>1203</v>
      </c>
      <c r="C470" s="75" t="s">
        <v>92</v>
      </c>
      <c r="D470" s="69" t="s">
        <v>120</v>
      </c>
      <c r="E470" s="59" t="s">
        <v>1199</v>
      </c>
    </row>
    <row r="471" outlineLevel="1">
      <c r="B471" s="61" t="s">
        <v>1204</v>
      </c>
      <c r="C471" s="69" t="s">
        <v>120</v>
      </c>
      <c r="D471" s="67" t="s">
        <v>167</v>
      </c>
      <c r="E471" s="59" t="s">
        <v>1199</v>
      </c>
    </row>
    <row r="472" outlineLevel="1">
      <c r="B472" s="61" t="s">
        <v>1205</v>
      </c>
      <c r="C472" s="75" t="s">
        <v>92</v>
      </c>
      <c r="D472" s="69" t="s">
        <v>120</v>
      </c>
      <c r="E472" s="59" t="s">
        <v>1199</v>
      </c>
    </row>
    <row r="473" outlineLevel="1">
      <c r="B473" s="61" t="s">
        <v>1206</v>
      </c>
      <c r="C473" s="69" t="s">
        <v>120</v>
      </c>
      <c r="D473" s="74" t="s">
        <v>136</v>
      </c>
      <c r="E473" s="59" t="s">
        <v>1199</v>
      </c>
    </row>
    <row r="474" outlineLevel="1">
      <c r="B474" s="61" t="s">
        <v>1207</v>
      </c>
      <c r="C474" s="69" t="s">
        <v>120</v>
      </c>
      <c r="D474" s="74" t="s">
        <v>136</v>
      </c>
      <c r="E474" s="59" t="s">
        <v>1199</v>
      </c>
    </row>
    <row r="475" outlineLevel="1">
      <c r="B475" s="54" t="s">
        <v>1208</v>
      </c>
      <c r="C475" s="71" t="s">
        <v>71</v>
      </c>
      <c r="D475" s="66" t="s">
        <v>92</v>
      </c>
      <c r="E475" s="59" t="s">
        <v>1199</v>
      </c>
    </row>
    <row r="476" outlineLevel="1">
      <c r="A476" s="89" t="s">
        <v>1055</v>
      </c>
      <c r="B476" s="54" t="s">
        <v>1209</v>
      </c>
      <c r="C476" s="83" t="s">
        <v>12</v>
      </c>
      <c r="D476" s="83" t="s">
        <v>120</v>
      </c>
      <c r="E476" s="59" t="s">
        <v>1210</v>
      </c>
    </row>
    <row r="477" outlineLevel="1">
      <c r="B477" s="54" t="s">
        <v>1067</v>
      </c>
      <c r="C477" s="83" t="s">
        <v>12</v>
      </c>
      <c r="D477" s="83" t="s">
        <v>92</v>
      </c>
      <c r="E477" s="59" t="s">
        <v>1211</v>
      </c>
    </row>
    <row r="478" outlineLevel="1">
      <c r="B478" s="54" t="s">
        <v>1212</v>
      </c>
      <c r="C478" s="83" t="s">
        <v>12</v>
      </c>
      <c r="D478" s="83" t="s">
        <v>120</v>
      </c>
      <c r="E478" s="59" t="s">
        <v>1213</v>
      </c>
    </row>
    <row r="479" outlineLevel="1">
      <c r="B479" s="54" t="s">
        <v>1214</v>
      </c>
      <c r="C479" s="83" t="s">
        <v>12</v>
      </c>
      <c r="D479" s="83" t="s">
        <v>136</v>
      </c>
      <c r="E479" s="59" t="s">
        <v>1215</v>
      </c>
    </row>
    <row r="480">
      <c r="A480" s="84"/>
      <c r="B480" s="54"/>
      <c r="C480" s="61"/>
      <c r="D480" s="54"/>
      <c r="E480" s="59"/>
    </row>
    <row r="481" outlineLevel="1">
      <c r="A481" s="86" t="s">
        <v>1216</v>
      </c>
    </row>
    <row r="482" outlineLevel="1">
      <c r="A482" s="60"/>
      <c r="B482" s="56" t="s">
        <v>54</v>
      </c>
      <c r="C482" s="57" t="s">
        <v>1217</v>
      </c>
      <c r="D482" s="57" t="s">
        <v>774</v>
      </c>
      <c r="E482" s="58" t="s">
        <v>421</v>
      </c>
    </row>
    <row r="483" outlineLevel="1">
      <c r="A483" s="49" t="s">
        <v>1218</v>
      </c>
      <c r="B483" s="83" t="s">
        <v>179</v>
      </c>
      <c r="C483" s="83" t="s">
        <v>167</v>
      </c>
      <c r="D483" s="83" t="s">
        <v>120</v>
      </c>
      <c r="E483" s="87" t="s">
        <v>1219</v>
      </c>
    </row>
    <row r="484" outlineLevel="1">
      <c r="B484" s="83" t="s">
        <v>121</v>
      </c>
      <c r="C484" s="83" t="s">
        <v>167</v>
      </c>
      <c r="D484" s="83" t="s">
        <v>136</v>
      </c>
      <c r="E484" s="87" t="s">
        <v>1219</v>
      </c>
    </row>
    <row r="485" outlineLevel="1">
      <c r="B485" s="83" t="s">
        <v>1220</v>
      </c>
      <c r="C485" s="83" t="s">
        <v>12</v>
      </c>
      <c r="D485" s="83" t="s">
        <v>120</v>
      </c>
      <c r="E485" s="87" t="s">
        <v>1221</v>
      </c>
    </row>
    <row r="486" outlineLevel="1">
      <c r="B486" s="90" t="s">
        <v>1222</v>
      </c>
      <c r="C486" s="83" t="s">
        <v>12</v>
      </c>
      <c r="D486" s="83" t="s">
        <v>136</v>
      </c>
      <c r="E486" s="87" t="s">
        <v>1223</v>
      </c>
    </row>
    <row r="487" outlineLevel="1">
      <c r="B487" s="83" t="s">
        <v>1224</v>
      </c>
      <c r="C487" s="83" t="s">
        <v>12</v>
      </c>
      <c r="D487" s="83" t="s">
        <v>167</v>
      </c>
      <c r="E487" s="87" t="s">
        <v>1225</v>
      </c>
    </row>
    <row r="488" outlineLevel="1">
      <c r="B488" s="83" t="s">
        <v>64</v>
      </c>
      <c r="C488" s="83" t="s">
        <v>71</v>
      </c>
      <c r="D488" s="83" t="s">
        <v>92</v>
      </c>
      <c r="E488" s="87" t="s">
        <v>1226</v>
      </c>
    </row>
    <row r="489" outlineLevel="1">
      <c r="B489" s="83" t="s">
        <v>521</v>
      </c>
      <c r="C489" s="83" t="s">
        <v>12</v>
      </c>
      <c r="D489" s="83" t="s">
        <v>71</v>
      </c>
      <c r="E489" s="87" t="s">
        <v>1227</v>
      </c>
    </row>
    <row r="490" outlineLevel="1">
      <c r="A490" s="51" t="s">
        <v>1228</v>
      </c>
      <c r="B490" s="83" t="s">
        <v>252</v>
      </c>
      <c r="C490" s="83" t="s">
        <v>447</v>
      </c>
      <c r="D490" s="83" t="s">
        <v>92</v>
      </c>
      <c r="E490" s="87" t="s">
        <v>1229</v>
      </c>
    </row>
    <row r="491" outlineLevel="1">
      <c r="B491" s="83" t="s">
        <v>853</v>
      </c>
      <c r="C491" s="83" t="s">
        <v>12</v>
      </c>
      <c r="D491" s="83" t="s">
        <v>71</v>
      </c>
      <c r="E491" s="87" t="s">
        <v>1230</v>
      </c>
    </row>
    <row r="492" outlineLevel="1">
      <c r="B492" s="83" t="s">
        <v>866</v>
      </c>
      <c r="C492" s="83" t="s">
        <v>12</v>
      </c>
      <c r="D492" s="83" t="s">
        <v>71</v>
      </c>
      <c r="E492" s="87" t="s">
        <v>1230</v>
      </c>
    </row>
    <row r="493" outlineLevel="1">
      <c r="B493" s="83" t="s">
        <v>240</v>
      </c>
      <c r="C493" s="83" t="s">
        <v>167</v>
      </c>
      <c r="D493" s="83" t="s">
        <v>167</v>
      </c>
      <c r="E493" s="87" t="s">
        <v>1231</v>
      </c>
    </row>
    <row r="494" outlineLevel="1">
      <c r="A494" s="81" t="s">
        <v>1182</v>
      </c>
      <c r="B494" s="83" t="s">
        <v>310</v>
      </c>
      <c r="C494" s="83" t="s">
        <v>423</v>
      </c>
      <c r="D494" s="83" t="s">
        <v>71</v>
      </c>
      <c r="E494" s="87" t="s">
        <v>1232</v>
      </c>
    </row>
    <row r="495" outlineLevel="1">
      <c r="B495" s="83" t="s">
        <v>324</v>
      </c>
      <c r="C495" s="83" t="s">
        <v>167</v>
      </c>
      <c r="D495" s="83" t="s">
        <v>92</v>
      </c>
      <c r="E495" s="87" t="s">
        <v>1233</v>
      </c>
    </row>
    <row r="496" outlineLevel="1">
      <c r="B496" s="83" t="s">
        <v>292</v>
      </c>
      <c r="C496" s="83" t="s">
        <v>120</v>
      </c>
      <c r="D496" s="83" t="s">
        <v>92</v>
      </c>
      <c r="E496" s="87" t="s">
        <v>1234</v>
      </c>
    </row>
    <row r="497" outlineLevel="1">
      <c r="A497" s="82" t="s">
        <v>386</v>
      </c>
      <c r="B497" s="83" t="s">
        <v>340</v>
      </c>
      <c r="C497" s="83" t="s">
        <v>120</v>
      </c>
      <c r="D497" s="83" t="s">
        <v>120</v>
      </c>
      <c r="E497" s="87" t="s">
        <v>1235</v>
      </c>
    </row>
    <row r="498" outlineLevel="1">
      <c r="B498" s="83" t="s">
        <v>884</v>
      </c>
      <c r="C498" s="83" t="s">
        <v>12</v>
      </c>
      <c r="D498" s="83" t="s">
        <v>71</v>
      </c>
      <c r="E498" s="87" t="s">
        <v>1236</v>
      </c>
    </row>
    <row r="499" outlineLevel="1">
      <c r="B499" s="83" t="s">
        <v>857</v>
      </c>
      <c r="C499" s="83" t="s">
        <v>92</v>
      </c>
      <c r="D499" s="83" t="s">
        <v>71</v>
      </c>
      <c r="E499" s="87" t="s">
        <v>1237</v>
      </c>
    </row>
    <row r="500" outlineLevel="1">
      <c r="B500" s="83" t="s">
        <v>863</v>
      </c>
      <c r="C500" s="83" t="s">
        <v>92</v>
      </c>
      <c r="D500" s="83" t="s">
        <v>71</v>
      </c>
      <c r="E500" s="87" t="s">
        <v>1238</v>
      </c>
    </row>
    <row r="501" outlineLevel="1">
      <c r="B501" s="83" t="s">
        <v>1239</v>
      </c>
      <c r="C501" s="83" t="s">
        <v>71</v>
      </c>
      <c r="D501" s="83" t="s">
        <v>92</v>
      </c>
      <c r="E501" s="87" t="s">
        <v>1240</v>
      </c>
    </row>
    <row r="502" outlineLevel="1">
      <c r="A502" s="91" t="s">
        <v>1241</v>
      </c>
      <c r="B502" s="83" t="s">
        <v>1242</v>
      </c>
      <c r="C502" s="83" t="s">
        <v>92</v>
      </c>
      <c r="D502" s="83" t="s">
        <v>92</v>
      </c>
      <c r="E502" s="87" t="s">
        <v>1243</v>
      </c>
    </row>
    <row r="503" outlineLevel="1">
      <c r="B503" s="83" t="s">
        <v>1244</v>
      </c>
      <c r="C503" s="83" t="s">
        <v>12</v>
      </c>
      <c r="D503" s="83" t="s">
        <v>71</v>
      </c>
      <c r="E503" s="87" t="s">
        <v>1245</v>
      </c>
    </row>
    <row r="504" outlineLevel="1">
      <c r="A504" s="92" t="s">
        <v>395</v>
      </c>
      <c r="B504" s="83" t="s">
        <v>1246</v>
      </c>
      <c r="C504" s="93" t="s">
        <v>423</v>
      </c>
      <c r="D504" s="83" t="s">
        <v>92</v>
      </c>
      <c r="E504" s="87" t="s">
        <v>1247</v>
      </c>
    </row>
    <row r="505" outlineLevel="1">
      <c r="B505" s="83" t="s">
        <v>1248</v>
      </c>
      <c r="C505" s="83" t="s">
        <v>120</v>
      </c>
      <c r="D505" s="83" t="s">
        <v>92</v>
      </c>
      <c r="E505" s="87" t="s">
        <v>1249</v>
      </c>
    </row>
    <row r="506" outlineLevel="1">
      <c r="A506" s="88" t="s">
        <v>393</v>
      </c>
      <c r="B506" s="83" t="s">
        <v>1204</v>
      </c>
      <c r="C506" s="83" t="s">
        <v>136</v>
      </c>
      <c r="D506" s="83" t="s">
        <v>120</v>
      </c>
      <c r="E506" s="87" t="s">
        <v>1250</v>
      </c>
    </row>
    <row r="507" outlineLevel="1">
      <c r="B507" s="83" t="s">
        <v>1198</v>
      </c>
      <c r="C507" s="83" t="s">
        <v>120</v>
      </c>
      <c r="D507" s="83" t="s">
        <v>92</v>
      </c>
      <c r="E507" s="87" t="s">
        <v>1251</v>
      </c>
    </row>
    <row r="508" outlineLevel="1">
      <c r="B508" s="83" t="s">
        <v>1207</v>
      </c>
      <c r="C508" s="83" t="s">
        <v>92</v>
      </c>
      <c r="D508" s="83" t="s">
        <v>120</v>
      </c>
      <c r="E508" s="87" t="s">
        <v>1250</v>
      </c>
    </row>
    <row r="509" outlineLevel="1">
      <c r="B509" s="83" t="s">
        <v>1206</v>
      </c>
      <c r="C509" s="83" t="s">
        <v>92</v>
      </c>
      <c r="D509" s="83" t="s">
        <v>120</v>
      </c>
      <c r="E509" s="87" t="s">
        <v>1250</v>
      </c>
    </row>
    <row r="510" outlineLevel="1">
      <c r="B510" s="83" t="s">
        <v>1200</v>
      </c>
      <c r="C510" s="83" t="s">
        <v>12</v>
      </c>
      <c r="D510" s="83" t="s">
        <v>71</v>
      </c>
      <c r="E510" s="87" t="s">
        <v>1252</v>
      </c>
    </row>
    <row r="511" outlineLevel="1">
      <c r="B511" s="83" t="s">
        <v>1208</v>
      </c>
      <c r="C511" s="83" t="s">
        <v>12</v>
      </c>
      <c r="D511" s="83" t="s">
        <v>71</v>
      </c>
      <c r="E511" s="87" t="s">
        <v>1252</v>
      </c>
    </row>
    <row r="512" ht="15.75" customHeight="1" outlineLevel="1">
      <c r="A512" s="94" t="s">
        <v>1253</v>
      </c>
      <c r="B512" s="83" t="s">
        <v>1254</v>
      </c>
      <c r="C512" s="83" t="s">
        <v>120</v>
      </c>
      <c r="D512" s="83" t="s">
        <v>92</v>
      </c>
      <c r="E512" s="87" t="s">
        <v>1255</v>
      </c>
    </row>
    <row r="513" outlineLevel="1">
      <c r="A513" s="95" t="s">
        <v>1256</v>
      </c>
      <c r="B513" s="83" t="s">
        <v>882</v>
      </c>
      <c r="C513" s="83" t="s">
        <v>120</v>
      </c>
      <c r="D513" s="83" t="s">
        <v>71</v>
      </c>
      <c r="E513" s="87" t="s">
        <v>1257</v>
      </c>
    </row>
    <row r="514" outlineLevel="1">
      <c r="B514" s="83" t="s">
        <v>1258</v>
      </c>
      <c r="C514" s="83" t="s">
        <v>12</v>
      </c>
      <c r="D514" s="83" t="s">
        <v>92</v>
      </c>
      <c r="E514" s="87" t="s">
        <v>1259</v>
      </c>
    </row>
    <row r="515" ht="15.75" customHeight="1" outlineLevel="1">
      <c r="A515" s="96" t="s">
        <v>394</v>
      </c>
      <c r="B515" s="83" t="s">
        <v>511</v>
      </c>
      <c r="C515" s="83" t="s">
        <v>12</v>
      </c>
      <c r="D515" s="83" t="s">
        <v>71</v>
      </c>
      <c r="E515" s="87" t="s">
        <v>1260</v>
      </c>
    </row>
    <row r="516" outlineLevel="1">
      <c r="A516" s="89" t="s">
        <v>1261</v>
      </c>
      <c r="B516" s="83" t="s">
        <v>1262</v>
      </c>
      <c r="C516" s="83" t="s">
        <v>12</v>
      </c>
      <c r="D516" s="83">
        <v>1.0</v>
      </c>
      <c r="E516" s="87" t="s">
        <v>1263</v>
      </c>
    </row>
    <row r="517" outlineLevel="1">
      <c r="B517" s="83" t="s">
        <v>1264</v>
      </c>
      <c r="C517" s="83" t="s">
        <v>12</v>
      </c>
      <c r="D517" s="83">
        <v>1.0</v>
      </c>
      <c r="E517" s="87" t="s">
        <v>1265</v>
      </c>
    </row>
    <row r="518" outlineLevel="1">
      <c r="B518" s="83" t="s">
        <v>1266</v>
      </c>
      <c r="C518" s="83">
        <v>1.0</v>
      </c>
      <c r="D518" s="83">
        <v>2.0</v>
      </c>
      <c r="E518" s="87" t="s">
        <v>1267</v>
      </c>
    </row>
    <row r="519" outlineLevel="1">
      <c r="B519" s="83" t="s">
        <v>1268</v>
      </c>
      <c r="C519" s="83" t="s">
        <v>12</v>
      </c>
      <c r="D519" s="83">
        <v>2.0</v>
      </c>
      <c r="E519" s="87" t="s">
        <v>1269</v>
      </c>
    </row>
    <row r="520" outlineLevel="1">
      <c r="B520" s="83" t="s">
        <v>1270</v>
      </c>
      <c r="C520" s="83" t="s">
        <v>12</v>
      </c>
      <c r="D520" s="83">
        <v>1.0</v>
      </c>
      <c r="E520" s="87" t="s">
        <v>1271</v>
      </c>
    </row>
    <row r="521" outlineLevel="1">
      <c r="B521" s="83" t="s">
        <v>1272</v>
      </c>
      <c r="C521" s="83">
        <v>1.0</v>
      </c>
      <c r="D521" s="83">
        <v>2.0</v>
      </c>
      <c r="E521" s="87" t="s">
        <v>1273</v>
      </c>
    </row>
    <row r="522">
      <c r="A522" s="60"/>
      <c r="B522" s="56"/>
      <c r="C522" s="56"/>
      <c r="D522" s="56"/>
      <c r="E522" s="56"/>
    </row>
    <row r="523" ht="30.0" customHeight="1" outlineLevel="1">
      <c r="A523" s="86" t="s">
        <v>1274</v>
      </c>
    </row>
    <row r="524" outlineLevel="1">
      <c r="A524" s="60"/>
      <c r="B524" s="56" t="s">
        <v>389</v>
      </c>
    </row>
    <row r="525" outlineLevel="1">
      <c r="A525" s="60"/>
      <c r="B525" s="56" t="s">
        <v>54</v>
      </c>
      <c r="C525" s="56" t="s">
        <v>1275</v>
      </c>
      <c r="D525" s="56" t="s">
        <v>1276</v>
      </c>
      <c r="E525" s="58" t="s">
        <v>421</v>
      </c>
    </row>
    <row r="526" outlineLevel="1">
      <c r="A526" s="97"/>
      <c r="B526" s="61" t="s">
        <v>1277</v>
      </c>
      <c r="C526" s="98" t="s">
        <v>12</v>
      </c>
      <c r="D526" s="71" t="s">
        <v>71</v>
      </c>
      <c r="E526" s="99" t="s">
        <v>1278</v>
      </c>
    </row>
    <row r="527" outlineLevel="1">
      <c r="A527" s="97"/>
      <c r="B527" s="61" t="s">
        <v>1279</v>
      </c>
      <c r="C527" s="98" t="s">
        <v>12</v>
      </c>
      <c r="D527" s="68" t="s">
        <v>136</v>
      </c>
      <c r="E527" s="99" t="s">
        <v>1280</v>
      </c>
    </row>
    <row r="528" outlineLevel="1">
      <c r="A528" s="97"/>
      <c r="B528" s="61" t="s">
        <v>99</v>
      </c>
      <c r="C528" s="65" t="s">
        <v>120</v>
      </c>
      <c r="D528" s="68" t="s">
        <v>136</v>
      </c>
      <c r="E528" s="99" t="s">
        <v>1281</v>
      </c>
    </row>
    <row r="529" outlineLevel="1">
      <c r="A529" s="97"/>
      <c r="B529" s="61" t="s">
        <v>868</v>
      </c>
      <c r="C529" s="98" t="s">
        <v>12</v>
      </c>
      <c r="D529" s="75" t="s">
        <v>92</v>
      </c>
      <c r="E529" s="99" t="s">
        <v>1282</v>
      </c>
    </row>
    <row r="530" outlineLevel="1">
      <c r="A530" s="97"/>
      <c r="B530" s="61" t="s">
        <v>171</v>
      </c>
      <c r="C530" s="75" t="s">
        <v>92</v>
      </c>
      <c r="D530" s="65" t="s">
        <v>120</v>
      </c>
      <c r="E530" s="99" t="s">
        <v>1283</v>
      </c>
    </row>
    <row r="531" outlineLevel="1">
      <c r="A531" s="97"/>
      <c r="B531" s="61" t="s">
        <v>139</v>
      </c>
      <c r="C531" s="65" t="s">
        <v>120</v>
      </c>
      <c r="D531" s="64" t="s">
        <v>167</v>
      </c>
      <c r="E531" s="99" t="s">
        <v>1283</v>
      </c>
    </row>
    <row r="532" outlineLevel="1">
      <c r="A532" s="97"/>
      <c r="B532" s="61" t="s">
        <v>137</v>
      </c>
      <c r="C532" s="65" t="s">
        <v>120</v>
      </c>
      <c r="D532" s="68" t="s">
        <v>136</v>
      </c>
      <c r="E532" s="99" t="s">
        <v>1284</v>
      </c>
    </row>
    <row r="533" outlineLevel="1">
      <c r="A533" s="97"/>
      <c r="B533" s="61" t="s">
        <v>117</v>
      </c>
      <c r="C533" s="75" t="s">
        <v>92</v>
      </c>
      <c r="D533" s="68" t="s">
        <v>136</v>
      </c>
      <c r="E533" s="99" t="s">
        <v>1284</v>
      </c>
    </row>
    <row r="534" outlineLevel="1">
      <c r="A534" s="97"/>
      <c r="B534" s="61" t="s">
        <v>151</v>
      </c>
      <c r="C534" s="68" t="s">
        <v>136</v>
      </c>
      <c r="D534" s="64" t="s">
        <v>120</v>
      </c>
      <c r="E534" s="99" t="s">
        <v>1285</v>
      </c>
    </row>
    <row r="535" outlineLevel="1">
      <c r="A535" s="97"/>
      <c r="B535" s="61" t="s">
        <v>127</v>
      </c>
      <c r="C535" s="65" t="s">
        <v>120</v>
      </c>
      <c r="D535" s="73" t="s">
        <v>423</v>
      </c>
      <c r="E535" s="99" t="s">
        <v>1286</v>
      </c>
    </row>
    <row r="536" outlineLevel="1">
      <c r="A536" s="97"/>
      <c r="B536" s="61" t="s">
        <v>142</v>
      </c>
      <c r="C536" s="65" t="s">
        <v>120</v>
      </c>
      <c r="D536" s="68" t="s">
        <v>136</v>
      </c>
      <c r="E536" s="99" t="s">
        <v>1286</v>
      </c>
    </row>
    <row r="537" outlineLevel="1">
      <c r="A537" s="97"/>
      <c r="B537" s="61" t="s">
        <v>144</v>
      </c>
      <c r="C537" s="68" t="s">
        <v>136</v>
      </c>
      <c r="D537" s="73" t="s">
        <v>423</v>
      </c>
      <c r="E537" s="99" t="s">
        <v>1286</v>
      </c>
    </row>
    <row r="538" outlineLevel="1">
      <c r="A538" s="97"/>
      <c r="B538" s="61" t="s">
        <v>133</v>
      </c>
      <c r="C538" s="68" t="s">
        <v>136</v>
      </c>
      <c r="D538" s="64" t="s">
        <v>167</v>
      </c>
      <c r="E538" s="99" t="s">
        <v>1286</v>
      </c>
    </row>
    <row r="539" outlineLevel="1">
      <c r="A539" s="97"/>
      <c r="B539" s="61" t="s">
        <v>129</v>
      </c>
      <c r="C539" s="65" t="s">
        <v>120</v>
      </c>
      <c r="D539" s="73" t="s">
        <v>423</v>
      </c>
      <c r="E539" s="99" t="s">
        <v>1286</v>
      </c>
    </row>
    <row r="540" outlineLevel="1">
      <c r="A540" s="97"/>
      <c r="B540" s="61" t="s">
        <v>111</v>
      </c>
      <c r="C540" s="65" t="s">
        <v>120</v>
      </c>
      <c r="D540" s="64" t="s">
        <v>167</v>
      </c>
      <c r="E540" s="99" t="s">
        <v>1286</v>
      </c>
    </row>
    <row r="541" outlineLevel="1">
      <c r="A541" s="97"/>
      <c r="B541" s="61" t="s">
        <v>114</v>
      </c>
      <c r="C541" s="65" t="s">
        <v>120</v>
      </c>
      <c r="D541" s="68" t="s">
        <v>136</v>
      </c>
      <c r="E541" s="99" t="s">
        <v>1286</v>
      </c>
    </row>
    <row r="542" outlineLevel="1">
      <c r="A542" s="97"/>
      <c r="B542" s="61" t="s">
        <v>154</v>
      </c>
      <c r="C542" s="68" t="s">
        <v>136</v>
      </c>
      <c r="D542" s="64" t="s">
        <v>167</v>
      </c>
      <c r="E542" s="99" t="s">
        <v>1287</v>
      </c>
    </row>
    <row r="543" outlineLevel="1">
      <c r="A543" s="97"/>
      <c r="B543" s="61" t="s">
        <v>161</v>
      </c>
      <c r="C543" s="68" t="s">
        <v>136</v>
      </c>
      <c r="D543" s="64" t="s">
        <v>167</v>
      </c>
      <c r="E543" s="99" t="s">
        <v>1287</v>
      </c>
    </row>
    <row r="544" outlineLevel="1">
      <c r="A544" s="97"/>
      <c r="B544" s="61" t="s">
        <v>121</v>
      </c>
      <c r="C544" s="65" t="s">
        <v>120</v>
      </c>
      <c r="D544" s="64" t="s">
        <v>167</v>
      </c>
      <c r="E544" s="99" t="s">
        <v>1287</v>
      </c>
    </row>
    <row r="545" outlineLevel="1">
      <c r="A545" s="97"/>
      <c r="B545" s="61" t="s">
        <v>173</v>
      </c>
      <c r="C545" s="64" t="s">
        <v>167</v>
      </c>
      <c r="D545" s="70" t="s">
        <v>447</v>
      </c>
      <c r="E545" s="99" t="s">
        <v>1288</v>
      </c>
    </row>
    <row r="546" outlineLevel="1">
      <c r="A546" s="97"/>
      <c r="B546" s="61" t="s">
        <v>169</v>
      </c>
      <c r="C546" s="64" t="s">
        <v>167</v>
      </c>
      <c r="D546" s="70" t="s">
        <v>447</v>
      </c>
      <c r="E546" s="99" t="s">
        <v>1288</v>
      </c>
    </row>
    <row r="547" outlineLevel="1">
      <c r="A547" s="97"/>
      <c r="B547" s="61" t="s">
        <v>165</v>
      </c>
      <c r="C547" s="64" t="s">
        <v>167</v>
      </c>
      <c r="D547" s="73" t="s">
        <v>423</v>
      </c>
      <c r="E547" s="99" t="s">
        <v>1288</v>
      </c>
    </row>
    <row r="548" outlineLevel="1">
      <c r="A548" s="97"/>
      <c r="B548" s="61" t="s">
        <v>156</v>
      </c>
      <c r="C548" s="64" t="s">
        <v>167</v>
      </c>
      <c r="D548" s="73" t="s">
        <v>423</v>
      </c>
      <c r="E548" s="99" t="s">
        <v>1288</v>
      </c>
    </row>
    <row r="549" outlineLevel="1">
      <c r="A549" s="97"/>
      <c r="B549" s="61" t="s">
        <v>179</v>
      </c>
      <c r="C549" s="68" t="s">
        <v>136</v>
      </c>
      <c r="D549" s="64" t="s">
        <v>167</v>
      </c>
      <c r="E549" s="99" t="s">
        <v>1288</v>
      </c>
    </row>
    <row r="550" outlineLevel="1">
      <c r="A550" s="97"/>
      <c r="B550" s="61" t="s">
        <v>175</v>
      </c>
      <c r="C550" s="64" t="s">
        <v>167</v>
      </c>
      <c r="D550" s="70" t="s">
        <v>447</v>
      </c>
      <c r="E550" s="99" t="s">
        <v>1288</v>
      </c>
    </row>
    <row r="551" outlineLevel="1">
      <c r="A551" s="97"/>
      <c r="B551" s="61" t="s">
        <v>180</v>
      </c>
      <c r="C551" s="64" t="s">
        <v>167</v>
      </c>
      <c r="D551" s="70" t="s">
        <v>447</v>
      </c>
      <c r="E551" s="99" t="s">
        <v>1288</v>
      </c>
    </row>
    <row r="552" outlineLevel="1">
      <c r="A552" s="97"/>
      <c r="B552" s="61" t="s">
        <v>168</v>
      </c>
      <c r="C552" s="64" t="s">
        <v>167</v>
      </c>
      <c r="D552" s="70" t="s">
        <v>447</v>
      </c>
      <c r="E552" s="99" t="s">
        <v>1288</v>
      </c>
    </row>
    <row r="553" outlineLevel="1">
      <c r="A553" s="97"/>
      <c r="B553" s="61" t="s">
        <v>160</v>
      </c>
      <c r="C553" s="64" t="s">
        <v>167</v>
      </c>
      <c r="D553" s="70" t="s">
        <v>447</v>
      </c>
      <c r="E553" s="99" t="s">
        <v>1288</v>
      </c>
    </row>
    <row r="554" outlineLevel="1">
      <c r="A554" s="97"/>
      <c r="B554" s="61" t="s">
        <v>132</v>
      </c>
      <c r="C554" s="75" t="s">
        <v>92</v>
      </c>
      <c r="D554" s="65" t="s">
        <v>120</v>
      </c>
      <c r="E554" s="99" t="s">
        <v>1288</v>
      </c>
    </row>
    <row r="555" outlineLevel="1">
      <c r="A555" s="97"/>
      <c r="B555" s="61" t="s">
        <v>78</v>
      </c>
      <c r="C555" s="75" t="s">
        <v>92</v>
      </c>
      <c r="D555" s="65" t="s">
        <v>120</v>
      </c>
      <c r="E555" s="99" t="s">
        <v>1288</v>
      </c>
    </row>
    <row r="556" outlineLevel="1">
      <c r="A556" s="97"/>
      <c r="B556" s="61" t="s">
        <v>145</v>
      </c>
      <c r="C556" s="68" t="s">
        <v>136</v>
      </c>
      <c r="D556" s="65" t="s">
        <v>120</v>
      </c>
      <c r="E556" s="99" t="s">
        <v>1289</v>
      </c>
    </row>
    <row r="557" outlineLevel="1">
      <c r="A557" s="100"/>
      <c r="C557" s="101"/>
    </row>
    <row r="558" outlineLevel="1">
      <c r="A558" s="102"/>
      <c r="B558" s="103" t="s">
        <v>390</v>
      </c>
    </row>
    <row r="559" outlineLevel="1">
      <c r="A559" s="60"/>
      <c r="B559" s="56" t="s">
        <v>54</v>
      </c>
      <c r="C559" s="56" t="s">
        <v>1275</v>
      </c>
      <c r="D559" s="56" t="s">
        <v>1276</v>
      </c>
      <c r="E559" s="58" t="s">
        <v>421</v>
      </c>
    </row>
    <row r="560" outlineLevel="1">
      <c r="A560" s="104"/>
      <c r="B560" s="14" t="s">
        <v>1290</v>
      </c>
      <c r="C560" s="98" t="s">
        <v>12</v>
      </c>
      <c r="D560" s="14" t="s">
        <v>447</v>
      </c>
      <c r="E560" s="99" t="s">
        <v>1291</v>
      </c>
    </row>
    <row r="561" outlineLevel="1">
      <c r="A561" s="104"/>
      <c r="B561" s="14" t="s">
        <v>855</v>
      </c>
      <c r="C561" s="98" t="s">
        <v>12</v>
      </c>
      <c r="D561" s="14" t="s">
        <v>71</v>
      </c>
      <c r="E561" s="99" t="s">
        <v>1292</v>
      </c>
    </row>
    <row r="562" outlineLevel="1">
      <c r="A562" s="104"/>
      <c r="B562" s="14" t="s">
        <v>239</v>
      </c>
      <c r="C562" s="14" t="s">
        <v>136</v>
      </c>
      <c r="D562" s="14" t="s">
        <v>167</v>
      </c>
      <c r="E562" s="99" t="s">
        <v>1281</v>
      </c>
    </row>
    <row r="563" outlineLevel="1">
      <c r="A563" s="104"/>
      <c r="B563" s="14" t="s">
        <v>230</v>
      </c>
      <c r="C563" s="14" t="s">
        <v>120</v>
      </c>
      <c r="D563" s="14" t="s">
        <v>167</v>
      </c>
      <c r="E563" s="99" t="s">
        <v>1281</v>
      </c>
    </row>
    <row r="564" outlineLevel="1">
      <c r="A564" s="104"/>
      <c r="B564" s="14" t="s">
        <v>255</v>
      </c>
      <c r="C564" s="14" t="s">
        <v>136</v>
      </c>
      <c r="D564" s="14" t="s">
        <v>423</v>
      </c>
      <c r="E564" s="99" t="s">
        <v>1281</v>
      </c>
    </row>
    <row r="565" outlineLevel="1">
      <c r="A565" s="104"/>
      <c r="B565" s="14" t="s">
        <v>236</v>
      </c>
      <c r="C565" s="14" t="s">
        <v>136</v>
      </c>
      <c r="D565" s="14" t="s">
        <v>423</v>
      </c>
      <c r="E565" s="99" t="s">
        <v>1281</v>
      </c>
    </row>
    <row r="566" outlineLevel="1">
      <c r="A566" s="104"/>
      <c r="B566" s="14" t="s">
        <v>216</v>
      </c>
      <c r="C566" s="14" t="s">
        <v>136</v>
      </c>
      <c r="D566" s="14" t="s">
        <v>167</v>
      </c>
      <c r="E566" s="99" t="s">
        <v>1281</v>
      </c>
    </row>
    <row r="567" outlineLevel="1">
      <c r="A567" s="104"/>
      <c r="B567" s="14" t="s">
        <v>235</v>
      </c>
      <c r="C567" s="14" t="s">
        <v>120</v>
      </c>
      <c r="D567" s="14" t="s">
        <v>167</v>
      </c>
      <c r="E567" s="99" t="s">
        <v>1281</v>
      </c>
    </row>
    <row r="568" outlineLevel="1">
      <c r="A568" s="104"/>
      <c r="B568" s="14" t="s">
        <v>691</v>
      </c>
      <c r="C568" s="98" t="s">
        <v>12</v>
      </c>
      <c r="D568" s="14" t="s">
        <v>136</v>
      </c>
      <c r="E568" s="99" t="s">
        <v>1293</v>
      </c>
    </row>
    <row r="569" outlineLevel="1">
      <c r="A569" s="104"/>
      <c r="B569" s="14" t="s">
        <v>208</v>
      </c>
      <c r="C569" s="14" t="s">
        <v>120</v>
      </c>
      <c r="D569" s="14" t="s">
        <v>167</v>
      </c>
      <c r="E569" s="99" t="s">
        <v>1294</v>
      </c>
    </row>
    <row r="570" outlineLevel="1">
      <c r="A570" s="104"/>
      <c r="B570" s="14" t="s">
        <v>261</v>
      </c>
      <c r="C570" s="14" t="s">
        <v>167</v>
      </c>
      <c r="D570" s="14" t="s">
        <v>447</v>
      </c>
      <c r="E570" s="99" t="s">
        <v>1288</v>
      </c>
    </row>
    <row r="571" outlineLevel="1">
      <c r="A571" s="104"/>
      <c r="B571" s="14" t="s">
        <v>222</v>
      </c>
      <c r="C571" s="14" t="s">
        <v>136</v>
      </c>
      <c r="D571" s="14" t="s">
        <v>167</v>
      </c>
      <c r="E571" s="99" t="s">
        <v>1288</v>
      </c>
    </row>
    <row r="572" outlineLevel="1">
      <c r="A572" s="104"/>
      <c r="B572" s="14" t="s">
        <v>212</v>
      </c>
      <c r="C572" s="14" t="s">
        <v>136</v>
      </c>
      <c r="D572" s="14" t="s">
        <v>167</v>
      </c>
      <c r="E572" s="99" t="s">
        <v>1288</v>
      </c>
    </row>
    <row r="573" outlineLevel="1">
      <c r="A573" s="104"/>
      <c r="B573" s="14" t="s">
        <v>251</v>
      </c>
      <c r="C573" s="14" t="s">
        <v>167</v>
      </c>
      <c r="D573" s="14" t="s">
        <v>447</v>
      </c>
      <c r="E573" s="99" t="s">
        <v>1288</v>
      </c>
    </row>
    <row r="574" outlineLevel="1">
      <c r="A574" s="104"/>
      <c r="B574" s="14" t="s">
        <v>254</v>
      </c>
      <c r="C574" s="14" t="s">
        <v>167</v>
      </c>
      <c r="D574" s="14" t="s">
        <v>423</v>
      </c>
      <c r="E574" s="99" t="s">
        <v>1288</v>
      </c>
    </row>
    <row r="575" outlineLevel="1">
      <c r="A575" s="104"/>
      <c r="B575" s="14" t="s">
        <v>188</v>
      </c>
      <c r="C575" s="14" t="s">
        <v>92</v>
      </c>
      <c r="D575" s="14" t="s">
        <v>120</v>
      </c>
      <c r="E575" s="99" t="s">
        <v>1288</v>
      </c>
    </row>
    <row r="576" outlineLevel="1">
      <c r="A576" s="104"/>
      <c r="B576" s="14" t="s">
        <v>246</v>
      </c>
      <c r="C576" s="14" t="s">
        <v>136</v>
      </c>
      <c r="D576" s="14" t="s">
        <v>167</v>
      </c>
      <c r="E576" s="99" t="s">
        <v>1288</v>
      </c>
    </row>
    <row r="577" outlineLevel="1">
      <c r="A577" s="104"/>
      <c r="B577" s="14" t="s">
        <v>227</v>
      </c>
      <c r="C577" s="14" t="s">
        <v>120</v>
      </c>
      <c r="D577" s="14" t="s">
        <v>136</v>
      </c>
      <c r="E577" s="99" t="s">
        <v>1288</v>
      </c>
    </row>
    <row r="578" outlineLevel="1">
      <c r="A578" s="104"/>
      <c r="B578" s="14" t="s">
        <v>257</v>
      </c>
      <c r="C578" s="14" t="s">
        <v>167</v>
      </c>
      <c r="D578" s="14" t="s">
        <v>423</v>
      </c>
      <c r="E578" s="99" t="s">
        <v>1288</v>
      </c>
    </row>
    <row r="579" outlineLevel="1">
      <c r="A579" s="104"/>
      <c r="B579" s="14" t="s">
        <v>1295</v>
      </c>
      <c r="C579" s="14" t="s">
        <v>92</v>
      </c>
      <c r="D579" s="14" t="s">
        <v>120</v>
      </c>
      <c r="E579" s="99" t="s">
        <v>1288</v>
      </c>
    </row>
    <row r="580" outlineLevel="1">
      <c r="A580" s="104"/>
      <c r="B580" s="14" t="s">
        <v>198</v>
      </c>
      <c r="C580" s="14" t="s">
        <v>136</v>
      </c>
      <c r="D580" s="14" t="s">
        <v>167</v>
      </c>
      <c r="E580" s="99" t="s">
        <v>1288</v>
      </c>
    </row>
    <row r="581" outlineLevel="1">
      <c r="A581" s="104"/>
      <c r="B581" s="14" t="s">
        <v>248</v>
      </c>
      <c r="C581" s="14" t="s">
        <v>136</v>
      </c>
      <c r="D581" s="14" t="s">
        <v>167</v>
      </c>
      <c r="E581" s="99" t="s">
        <v>1288</v>
      </c>
    </row>
    <row r="582" outlineLevel="1">
      <c r="A582" s="104"/>
      <c r="B582" s="14" t="s">
        <v>259</v>
      </c>
      <c r="C582" s="14" t="s">
        <v>167</v>
      </c>
      <c r="D582" s="14" t="s">
        <v>447</v>
      </c>
      <c r="E582" s="99" t="s">
        <v>1288</v>
      </c>
    </row>
    <row r="583" outlineLevel="1">
      <c r="A583" s="104"/>
      <c r="B583" s="14" t="s">
        <v>201</v>
      </c>
      <c r="C583" s="14" t="s">
        <v>136</v>
      </c>
      <c r="D583" s="14" t="s">
        <v>167</v>
      </c>
      <c r="E583" s="99" t="s">
        <v>1288</v>
      </c>
    </row>
    <row r="584" outlineLevel="1">
      <c r="A584" s="104"/>
      <c r="B584" s="14" t="s">
        <v>240</v>
      </c>
      <c r="C584" s="14" t="s">
        <v>136</v>
      </c>
      <c r="D584" s="14" t="s">
        <v>167</v>
      </c>
      <c r="E584" s="99" t="s">
        <v>1288</v>
      </c>
    </row>
    <row r="585" outlineLevel="1">
      <c r="A585" s="104"/>
      <c r="B585" s="14" t="s">
        <v>260</v>
      </c>
      <c r="C585" s="14" t="s">
        <v>167</v>
      </c>
      <c r="D585" s="14" t="s">
        <v>423</v>
      </c>
      <c r="E585" s="99" t="s">
        <v>1288</v>
      </c>
    </row>
    <row r="586" outlineLevel="1">
      <c r="A586" s="104"/>
      <c r="B586" s="14" t="s">
        <v>233</v>
      </c>
      <c r="C586" s="14" t="s">
        <v>136</v>
      </c>
      <c r="D586" s="14" t="s">
        <v>167</v>
      </c>
      <c r="E586" s="99" t="s">
        <v>1288</v>
      </c>
    </row>
    <row r="587" outlineLevel="1">
      <c r="A587" s="104"/>
      <c r="B587" s="14" t="s">
        <v>252</v>
      </c>
      <c r="C587" s="14" t="s">
        <v>167</v>
      </c>
      <c r="D587" s="14" t="s">
        <v>447</v>
      </c>
      <c r="E587" s="99" t="s">
        <v>1288</v>
      </c>
    </row>
    <row r="588" outlineLevel="1">
      <c r="A588" s="104"/>
      <c r="B588" s="14" t="s">
        <v>242</v>
      </c>
      <c r="C588" s="14" t="s">
        <v>167</v>
      </c>
      <c r="D588" s="14" t="s">
        <v>423</v>
      </c>
      <c r="E588" s="99" t="s">
        <v>1288</v>
      </c>
    </row>
    <row r="589" outlineLevel="1">
      <c r="A589" s="104"/>
      <c r="B589" s="14" t="s">
        <v>237</v>
      </c>
      <c r="C589" s="14" t="s">
        <v>136</v>
      </c>
      <c r="D589" s="14" t="s">
        <v>423</v>
      </c>
      <c r="E589" s="99" t="s">
        <v>1288</v>
      </c>
    </row>
    <row r="590" outlineLevel="1">
      <c r="A590" s="104"/>
      <c r="B590" s="14" t="s">
        <v>185</v>
      </c>
      <c r="C590" s="14" t="s">
        <v>71</v>
      </c>
      <c r="D590" s="14" t="s">
        <v>92</v>
      </c>
      <c r="E590" s="99" t="s">
        <v>1288</v>
      </c>
    </row>
    <row r="591" outlineLevel="1">
      <c r="A591" s="104"/>
      <c r="B591" s="14" t="s">
        <v>1296</v>
      </c>
      <c r="C591" s="14" t="s">
        <v>71</v>
      </c>
      <c r="D591" s="14" t="s">
        <v>92</v>
      </c>
      <c r="E591" s="99" t="s">
        <v>1288</v>
      </c>
    </row>
    <row r="592" outlineLevel="1">
      <c r="A592" s="104"/>
      <c r="B592" s="14" t="s">
        <v>218</v>
      </c>
      <c r="C592" s="14" t="s">
        <v>136</v>
      </c>
      <c r="D592" s="14" t="s">
        <v>167</v>
      </c>
      <c r="E592" s="99" t="s">
        <v>1288</v>
      </c>
    </row>
    <row r="593" outlineLevel="1">
      <c r="A593" s="104"/>
      <c r="B593" s="14" t="s">
        <v>250</v>
      </c>
      <c r="C593" s="14" t="s">
        <v>136</v>
      </c>
      <c r="D593" s="14" t="s">
        <v>167</v>
      </c>
      <c r="E593" s="99" t="s">
        <v>1288</v>
      </c>
    </row>
    <row r="594" outlineLevel="1">
      <c r="A594" s="104"/>
      <c r="B594" s="14" t="s">
        <v>221</v>
      </c>
      <c r="C594" s="14" t="s">
        <v>92</v>
      </c>
      <c r="D594" s="14" t="s">
        <v>120</v>
      </c>
      <c r="E594" s="99" t="s">
        <v>1288</v>
      </c>
    </row>
    <row r="595" outlineLevel="1">
      <c r="A595" s="104"/>
      <c r="B595" s="14" t="s">
        <v>205</v>
      </c>
      <c r="C595" s="14" t="s">
        <v>136</v>
      </c>
      <c r="D595" s="14" t="s">
        <v>167</v>
      </c>
      <c r="E595" s="99" t="s">
        <v>1288</v>
      </c>
    </row>
    <row r="596" outlineLevel="1">
      <c r="A596" s="104"/>
      <c r="B596" s="14" t="s">
        <v>245</v>
      </c>
      <c r="C596" s="14" t="s">
        <v>167</v>
      </c>
      <c r="D596" s="14" t="s">
        <v>447</v>
      </c>
      <c r="E596" s="99" t="s">
        <v>1288</v>
      </c>
    </row>
    <row r="597" outlineLevel="1">
      <c r="A597" s="102"/>
      <c r="B597" s="103"/>
      <c r="C597" s="103"/>
      <c r="D597" s="103"/>
      <c r="E597" s="103"/>
    </row>
    <row r="598" outlineLevel="1">
      <c r="A598" s="102"/>
      <c r="B598" s="103" t="s">
        <v>387</v>
      </c>
    </row>
    <row r="599" outlineLevel="1">
      <c r="A599" s="60"/>
      <c r="B599" s="56" t="s">
        <v>54</v>
      </c>
      <c r="C599" s="56" t="s">
        <v>1275</v>
      </c>
      <c r="D599" s="56" t="s">
        <v>1276</v>
      </c>
      <c r="E599" s="58" t="s">
        <v>421</v>
      </c>
    </row>
    <row r="600" outlineLevel="1">
      <c r="A600" s="104"/>
      <c r="B600" s="14" t="s">
        <v>1297</v>
      </c>
      <c r="C600" s="14" t="s">
        <v>92</v>
      </c>
      <c r="D600" s="71" t="s">
        <v>71</v>
      </c>
      <c r="E600" s="99" t="s">
        <v>1298</v>
      </c>
    </row>
    <row r="601" outlineLevel="1">
      <c r="A601" s="104"/>
      <c r="B601" s="14" t="s">
        <v>281</v>
      </c>
      <c r="C601" s="14" t="s">
        <v>120</v>
      </c>
      <c r="D601" s="75" t="s">
        <v>92</v>
      </c>
      <c r="E601" s="99" t="s">
        <v>1299</v>
      </c>
    </row>
    <row r="602" outlineLevel="1">
      <c r="A602" s="104"/>
      <c r="B602" s="14" t="s">
        <v>308</v>
      </c>
      <c r="C602" s="14" t="s">
        <v>136</v>
      </c>
      <c r="D602" s="73" t="s">
        <v>423</v>
      </c>
      <c r="E602" s="99" t="s">
        <v>1288</v>
      </c>
    </row>
    <row r="603" outlineLevel="1">
      <c r="A603" s="104"/>
      <c r="B603" s="14" t="s">
        <v>330</v>
      </c>
      <c r="C603" s="14" t="s">
        <v>167</v>
      </c>
      <c r="D603" s="70" t="s">
        <v>447</v>
      </c>
      <c r="E603" s="99" t="s">
        <v>1288</v>
      </c>
    </row>
    <row r="604" outlineLevel="1">
      <c r="A604" s="104"/>
      <c r="B604" s="14" t="s">
        <v>290</v>
      </c>
      <c r="C604" s="14" t="s">
        <v>136</v>
      </c>
      <c r="D604" s="73" t="s">
        <v>423</v>
      </c>
      <c r="E604" s="99" t="s">
        <v>1288</v>
      </c>
    </row>
    <row r="605" outlineLevel="1">
      <c r="A605" s="104"/>
      <c r="B605" s="14" t="s">
        <v>316</v>
      </c>
      <c r="C605" s="14" t="s">
        <v>136</v>
      </c>
      <c r="D605" s="64" t="s">
        <v>167</v>
      </c>
      <c r="E605" s="99" t="s">
        <v>1288</v>
      </c>
    </row>
    <row r="606" outlineLevel="1">
      <c r="A606" s="104"/>
      <c r="B606" s="14" t="s">
        <v>303</v>
      </c>
      <c r="C606" s="14" t="s">
        <v>136</v>
      </c>
      <c r="D606" s="73" t="s">
        <v>423</v>
      </c>
      <c r="E606" s="99" t="s">
        <v>1288</v>
      </c>
    </row>
    <row r="607" outlineLevel="1">
      <c r="A607" s="104"/>
      <c r="B607" s="14" t="s">
        <v>327</v>
      </c>
      <c r="C607" s="14" t="s">
        <v>167</v>
      </c>
      <c r="D607" s="70" t="s">
        <v>447</v>
      </c>
      <c r="E607" s="99" t="s">
        <v>1288</v>
      </c>
    </row>
    <row r="608" outlineLevel="1">
      <c r="A608" s="104"/>
      <c r="B608" s="14" t="s">
        <v>326</v>
      </c>
      <c r="C608" s="14" t="s">
        <v>167</v>
      </c>
      <c r="D608" s="70" t="s">
        <v>447</v>
      </c>
      <c r="E608" s="99" t="s">
        <v>1288</v>
      </c>
    </row>
    <row r="609" outlineLevel="1">
      <c r="A609" s="104"/>
      <c r="B609" s="14" t="s">
        <v>324</v>
      </c>
      <c r="C609" s="14" t="s">
        <v>136</v>
      </c>
      <c r="D609" s="64" t="s">
        <v>167</v>
      </c>
      <c r="E609" s="99" t="s">
        <v>1288</v>
      </c>
    </row>
    <row r="610" outlineLevel="1">
      <c r="A610" s="104"/>
      <c r="B610" s="14" t="s">
        <v>296</v>
      </c>
      <c r="C610" s="14" t="s">
        <v>120</v>
      </c>
      <c r="D610" s="64" t="s">
        <v>167</v>
      </c>
      <c r="E610" s="99" t="s">
        <v>1288</v>
      </c>
    </row>
    <row r="611" outlineLevel="1">
      <c r="A611" s="104"/>
      <c r="B611" s="14" t="s">
        <v>319</v>
      </c>
      <c r="C611" s="14" t="s">
        <v>167</v>
      </c>
      <c r="D611" s="73" t="s">
        <v>423</v>
      </c>
      <c r="E611" s="99" t="s">
        <v>1288</v>
      </c>
    </row>
    <row r="612" outlineLevel="1">
      <c r="A612" s="104"/>
      <c r="B612" s="14" t="s">
        <v>328</v>
      </c>
      <c r="C612" s="14" t="s">
        <v>167</v>
      </c>
      <c r="D612" s="70" t="s">
        <v>447</v>
      </c>
      <c r="E612" s="99" t="s">
        <v>1288</v>
      </c>
    </row>
    <row r="613" outlineLevel="1">
      <c r="A613" s="104"/>
      <c r="B613" s="14" t="s">
        <v>321</v>
      </c>
      <c r="C613" s="14" t="s">
        <v>136</v>
      </c>
      <c r="D613" s="73" t="s">
        <v>423</v>
      </c>
      <c r="E613" s="99" t="s">
        <v>1288</v>
      </c>
    </row>
    <row r="614" outlineLevel="1">
      <c r="A614" s="104"/>
      <c r="B614" s="14" t="s">
        <v>323</v>
      </c>
      <c r="C614" s="14" t="s">
        <v>167</v>
      </c>
      <c r="D614" s="70" t="s">
        <v>447</v>
      </c>
      <c r="E614" s="99" t="s">
        <v>1288</v>
      </c>
    </row>
    <row r="615" outlineLevel="1">
      <c r="A615" s="104"/>
      <c r="B615" s="14" t="s">
        <v>312</v>
      </c>
      <c r="C615" s="14" t="s">
        <v>167</v>
      </c>
      <c r="D615" s="70" t="s">
        <v>447</v>
      </c>
      <c r="E615" s="99" t="s">
        <v>1288</v>
      </c>
    </row>
    <row r="616" outlineLevel="1">
      <c r="A616" s="104"/>
      <c r="B616" s="14" t="s">
        <v>310</v>
      </c>
      <c r="C616" s="14" t="s">
        <v>167</v>
      </c>
      <c r="D616" s="73" t="s">
        <v>423</v>
      </c>
      <c r="E616" s="99" t="s">
        <v>1288</v>
      </c>
    </row>
    <row r="617" outlineLevel="1">
      <c r="A617" s="104"/>
      <c r="B617" s="14" t="s">
        <v>305</v>
      </c>
      <c r="C617" s="14" t="s">
        <v>120</v>
      </c>
      <c r="D617" s="64" t="s">
        <v>167</v>
      </c>
      <c r="E617" s="99" t="s">
        <v>1288</v>
      </c>
    </row>
    <row r="618" outlineLevel="1">
      <c r="A618" s="104"/>
      <c r="B618" s="14" t="s">
        <v>314</v>
      </c>
      <c r="C618" s="14" t="s">
        <v>136</v>
      </c>
      <c r="D618" s="64" t="s">
        <v>167</v>
      </c>
      <c r="E618" s="99" t="s">
        <v>1300</v>
      </c>
    </row>
    <row r="619" outlineLevel="1">
      <c r="A619" s="104"/>
      <c r="B619" s="14" t="s">
        <v>299</v>
      </c>
      <c r="C619" s="14" t="s">
        <v>120</v>
      </c>
      <c r="D619" s="68" t="s">
        <v>136</v>
      </c>
      <c r="E619" s="99" t="s">
        <v>1300</v>
      </c>
    </row>
    <row r="620" outlineLevel="1">
      <c r="A620" s="104"/>
      <c r="B620" s="14" t="s">
        <v>271</v>
      </c>
      <c r="C620" s="14" t="s">
        <v>71</v>
      </c>
      <c r="D620" s="71" t="s">
        <v>71</v>
      </c>
      <c r="E620" s="99" t="s">
        <v>1301</v>
      </c>
    </row>
    <row r="621" outlineLevel="1">
      <c r="A621" s="97"/>
      <c r="B621" s="61" t="s">
        <v>1302</v>
      </c>
      <c r="C621" s="98" t="s">
        <v>12</v>
      </c>
      <c r="D621" s="75" t="s">
        <v>92</v>
      </c>
      <c r="E621" s="99" t="s">
        <v>1303</v>
      </c>
    </row>
    <row r="622" outlineLevel="1">
      <c r="A622" s="100"/>
      <c r="C622" s="101"/>
    </row>
    <row r="623" outlineLevel="1">
      <c r="A623" s="105"/>
      <c r="B623" s="58" t="s">
        <v>386</v>
      </c>
    </row>
    <row r="624" outlineLevel="1">
      <c r="A624" s="60"/>
      <c r="B624" s="56" t="s">
        <v>54</v>
      </c>
      <c r="C624" s="56" t="s">
        <v>1275</v>
      </c>
      <c r="D624" s="56" t="s">
        <v>1276</v>
      </c>
      <c r="E624" s="58" t="s">
        <v>421</v>
      </c>
    </row>
    <row r="625" outlineLevel="1">
      <c r="A625" s="106"/>
      <c r="B625" s="98" t="s">
        <v>1239</v>
      </c>
      <c r="C625" s="98" t="s">
        <v>12</v>
      </c>
      <c r="D625" s="71" t="s">
        <v>71</v>
      </c>
      <c r="E625" s="99" t="s">
        <v>1304</v>
      </c>
    </row>
    <row r="626" outlineLevel="1">
      <c r="A626" s="97"/>
      <c r="B626" s="61" t="s">
        <v>1305</v>
      </c>
      <c r="C626" s="14" t="s">
        <v>120</v>
      </c>
      <c r="D626" s="14" t="s">
        <v>120</v>
      </c>
      <c r="E626" s="99" t="s">
        <v>1306</v>
      </c>
    </row>
    <row r="627" outlineLevel="1">
      <c r="A627" s="106"/>
      <c r="B627" s="98" t="s">
        <v>857</v>
      </c>
      <c r="C627" s="98" t="s">
        <v>12</v>
      </c>
      <c r="D627" s="75" t="s">
        <v>92</v>
      </c>
      <c r="E627" s="99" t="s">
        <v>1307</v>
      </c>
    </row>
    <row r="628" outlineLevel="1">
      <c r="A628" s="97"/>
      <c r="B628" s="61" t="s">
        <v>1308</v>
      </c>
      <c r="C628" s="14" t="s">
        <v>167</v>
      </c>
      <c r="D628" s="14" t="s">
        <v>120</v>
      </c>
      <c r="E628" s="99" t="s">
        <v>1309</v>
      </c>
    </row>
    <row r="629" outlineLevel="1">
      <c r="A629" s="97"/>
      <c r="B629" s="61" t="s">
        <v>344</v>
      </c>
      <c r="C629" s="14" t="s">
        <v>120</v>
      </c>
      <c r="D629" s="14" t="s">
        <v>136</v>
      </c>
      <c r="E629" s="99" t="s">
        <v>1288</v>
      </c>
    </row>
    <row r="630" outlineLevel="1">
      <c r="A630" s="97"/>
      <c r="B630" s="61" t="s">
        <v>357</v>
      </c>
      <c r="C630" s="14" t="s">
        <v>136</v>
      </c>
      <c r="D630" s="14" t="s">
        <v>167</v>
      </c>
      <c r="E630" s="99" t="s">
        <v>1288</v>
      </c>
    </row>
    <row r="631" outlineLevel="1">
      <c r="A631" s="97"/>
      <c r="B631" s="61" t="s">
        <v>348</v>
      </c>
      <c r="C631" s="14" t="s">
        <v>92</v>
      </c>
      <c r="D631" s="14" t="s">
        <v>120</v>
      </c>
      <c r="E631" s="99" t="s">
        <v>1288</v>
      </c>
    </row>
    <row r="632" outlineLevel="1">
      <c r="A632" s="97"/>
      <c r="B632" s="61" t="s">
        <v>351</v>
      </c>
      <c r="C632" s="14" t="s">
        <v>120</v>
      </c>
      <c r="D632" s="14" t="s">
        <v>136</v>
      </c>
      <c r="E632" s="99" t="s">
        <v>1288</v>
      </c>
    </row>
    <row r="633" outlineLevel="1">
      <c r="A633" s="97"/>
      <c r="B633" s="61" t="s">
        <v>340</v>
      </c>
      <c r="C633" s="14" t="s">
        <v>92</v>
      </c>
      <c r="D633" s="14" t="s">
        <v>120</v>
      </c>
      <c r="E633" s="99" t="s">
        <v>1288</v>
      </c>
    </row>
    <row r="634" outlineLevel="1">
      <c r="A634" s="97"/>
      <c r="B634" s="61" t="s">
        <v>358</v>
      </c>
      <c r="C634" s="14" t="s">
        <v>120</v>
      </c>
      <c r="D634" s="14" t="s">
        <v>136</v>
      </c>
      <c r="E634" s="99" t="s">
        <v>1288</v>
      </c>
    </row>
    <row r="635" outlineLevel="1">
      <c r="A635" s="97"/>
      <c r="B635" s="61" t="s">
        <v>367</v>
      </c>
      <c r="C635" s="14" t="s">
        <v>167</v>
      </c>
      <c r="D635" s="73" t="s">
        <v>423</v>
      </c>
      <c r="E635" s="99" t="s">
        <v>1288</v>
      </c>
    </row>
    <row r="636" outlineLevel="1">
      <c r="A636" s="97"/>
      <c r="B636" s="61" t="s">
        <v>366</v>
      </c>
      <c r="C636" s="14" t="s">
        <v>120</v>
      </c>
      <c r="D636" s="14" t="s">
        <v>136</v>
      </c>
      <c r="E636" s="99" t="s">
        <v>1288</v>
      </c>
    </row>
    <row r="637" outlineLevel="1">
      <c r="A637" s="97"/>
      <c r="B637" s="61" t="s">
        <v>369</v>
      </c>
      <c r="C637" s="14" t="s">
        <v>136</v>
      </c>
      <c r="D637" s="73" t="s">
        <v>423</v>
      </c>
      <c r="E637" s="99" t="s">
        <v>1288</v>
      </c>
    </row>
    <row r="638" outlineLevel="1">
      <c r="A638" s="97"/>
      <c r="B638" s="61" t="s">
        <v>363</v>
      </c>
      <c r="C638" s="14" t="s">
        <v>92</v>
      </c>
      <c r="D638" s="14" t="s">
        <v>120</v>
      </c>
      <c r="E638" s="99" t="s">
        <v>1288</v>
      </c>
    </row>
    <row r="639" outlineLevel="1">
      <c r="A639" s="97"/>
      <c r="B639" s="61" t="s">
        <v>1310</v>
      </c>
      <c r="C639" s="71" t="s">
        <v>71</v>
      </c>
      <c r="D639" s="75" t="s">
        <v>92</v>
      </c>
      <c r="E639" s="99" t="s">
        <v>1288</v>
      </c>
    </row>
    <row r="640" outlineLevel="1">
      <c r="A640" s="97"/>
      <c r="B640" s="61" t="s">
        <v>368</v>
      </c>
      <c r="C640" s="14" t="s">
        <v>167</v>
      </c>
      <c r="D640" s="70" t="s">
        <v>447</v>
      </c>
      <c r="E640" s="99" t="s">
        <v>1311</v>
      </c>
    </row>
    <row r="641" outlineLevel="1">
      <c r="A641" s="97"/>
      <c r="B641" s="61" t="s">
        <v>360</v>
      </c>
      <c r="C641" s="14" t="s">
        <v>92</v>
      </c>
      <c r="D641" s="14" t="s">
        <v>167</v>
      </c>
      <c r="E641" s="99" t="s">
        <v>1312</v>
      </c>
    </row>
    <row r="642" outlineLevel="1">
      <c r="A642" s="97"/>
      <c r="B642" s="61" t="s">
        <v>331</v>
      </c>
      <c r="C642" s="71" t="s">
        <v>71</v>
      </c>
      <c r="D642" s="75" t="s">
        <v>92</v>
      </c>
      <c r="E642" s="99" t="s">
        <v>1313</v>
      </c>
    </row>
    <row r="643" outlineLevel="1">
      <c r="A643" s="97"/>
      <c r="B643" s="61" t="s">
        <v>1314</v>
      </c>
      <c r="C643" s="71" t="s">
        <v>71</v>
      </c>
      <c r="D643" s="75" t="s">
        <v>92</v>
      </c>
      <c r="E643" s="99" t="s">
        <v>1313</v>
      </c>
    </row>
    <row r="644" outlineLevel="1">
      <c r="A644" s="97"/>
      <c r="B644" s="61" t="s">
        <v>353</v>
      </c>
      <c r="C644" s="14" t="s">
        <v>92</v>
      </c>
      <c r="D644" s="14" t="s">
        <v>136</v>
      </c>
      <c r="E644" s="99" t="s">
        <v>1313</v>
      </c>
    </row>
    <row r="645" outlineLevel="1">
      <c r="A645" s="97"/>
      <c r="B645" s="61" t="s">
        <v>1180</v>
      </c>
      <c r="C645" s="71" t="s">
        <v>71</v>
      </c>
      <c r="D645" s="14" t="s">
        <v>167</v>
      </c>
      <c r="E645" s="99" t="s">
        <v>1315</v>
      </c>
    </row>
    <row r="646" outlineLevel="1">
      <c r="A646" s="97"/>
      <c r="B646" s="61" t="s">
        <v>336</v>
      </c>
      <c r="C646" s="71" t="s">
        <v>71</v>
      </c>
      <c r="D646" s="14" t="s">
        <v>120</v>
      </c>
      <c r="E646" s="99" t="s">
        <v>1316</v>
      </c>
    </row>
    <row r="647" outlineLevel="1">
      <c r="A647" s="100"/>
      <c r="C647" s="101"/>
    </row>
    <row r="648" outlineLevel="1">
      <c r="A648" s="105"/>
      <c r="B648" s="58" t="s">
        <v>1317</v>
      </c>
    </row>
    <row r="649" outlineLevel="1">
      <c r="A649" s="106"/>
      <c r="B649" s="98" t="s">
        <v>1318</v>
      </c>
      <c r="C649" s="98" t="s">
        <v>12</v>
      </c>
      <c r="D649" s="71" t="s">
        <v>71</v>
      </c>
      <c r="E649" s="99" t="s">
        <v>1319</v>
      </c>
    </row>
    <row r="650" outlineLevel="1">
      <c r="A650" s="106"/>
      <c r="B650" s="98" t="s">
        <v>1320</v>
      </c>
      <c r="C650" s="98" t="s">
        <v>12</v>
      </c>
      <c r="D650" s="71" t="s">
        <v>71</v>
      </c>
      <c r="E650" s="99" t="s">
        <v>1321</v>
      </c>
    </row>
    <row r="651" outlineLevel="1">
      <c r="A651" s="100"/>
      <c r="C651" s="101"/>
    </row>
    <row r="652" outlineLevel="1">
      <c r="A652" s="105"/>
      <c r="B652" s="58" t="s">
        <v>395</v>
      </c>
    </row>
    <row r="653" outlineLevel="1">
      <c r="A653" s="107"/>
      <c r="B653" s="11" t="s">
        <v>54</v>
      </c>
      <c r="C653" s="11" t="s">
        <v>1275</v>
      </c>
      <c r="D653" s="58" t="s">
        <v>1276</v>
      </c>
      <c r="E653" s="58" t="s">
        <v>421</v>
      </c>
    </row>
    <row r="654" outlineLevel="1">
      <c r="A654" s="104"/>
      <c r="B654" s="14" t="s">
        <v>1322</v>
      </c>
      <c r="C654" s="98" t="s">
        <v>12</v>
      </c>
      <c r="D654" s="14" t="s">
        <v>92</v>
      </c>
      <c r="E654" s="99" t="s">
        <v>1323</v>
      </c>
    </row>
    <row r="655" outlineLevel="1">
      <c r="A655" s="104"/>
      <c r="B655" s="14" t="s">
        <v>1324</v>
      </c>
      <c r="C655" s="98" t="s">
        <v>12</v>
      </c>
      <c r="D655" s="14" t="s">
        <v>71</v>
      </c>
      <c r="E655" s="99" t="s">
        <v>1325</v>
      </c>
    </row>
    <row r="656" outlineLevel="1">
      <c r="A656" s="104"/>
      <c r="B656" s="14" t="s">
        <v>645</v>
      </c>
      <c r="C656" s="14" t="s">
        <v>71</v>
      </c>
      <c r="D656" s="14" t="s">
        <v>92</v>
      </c>
      <c r="E656" s="99" t="s">
        <v>1326</v>
      </c>
    </row>
    <row r="657" outlineLevel="1">
      <c r="A657" s="104"/>
      <c r="B657" s="14" t="s">
        <v>1327</v>
      </c>
      <c r="C657" s="14" t="s">
        <v>71</v>
      </c>
      <c r="D657" s="14" t="s">
        <v>92</v>
      </c>
      <c r="E657" s="99" t="s">
        <v>1328</v>
      </c>
    </row>
    <row r="658" outlineLevel="1">
      <c r="A658" s="104"/>
      <c r="B658" s="14" t="s">
        <v>1246</v>
      </c>
      <c r="C658" s="14" t="s">
        <v>136</v>
      </c>
      <c r="D658" s="14" t="s">
        <v>423</v>
      </c>
      <c r="E658" s="99" t="s">
        <v>1288</v>
      </c>
    </row>
    <row r="659" outlineLevel="1">
      <c r="A659" s="104"/>
      <c r="B659" s="14" t="s">
        <v>1329</v>
      </c>
      <c r="C659" s="14" t="s">
        <v>92</v>
      </c>
      <c r="D659" s="14" t="s">
        <v>120</v>
      </c>
      <c r="E659" s="99" t="s">
        <v>1288</v>
      </c>
    </row>
    <row r="660" outlineLevel="1">
      <c r="A660" s="104"/>
      <c r="B660" s="14" t="s">
        <v>1330</v>
      </c>
      <c r="C660" s="14" t="s">
        <v>136</v>
      </c>
      <c r="D660" s="14" t="s">
        <v>167</v>
      </c>
      <c r="E660" s="99" t="s">
        <v>1288</v>
      </c>
    </row>
    <row r="661" outlineLevel="1">
      <c r="A661" s="104"/>
      <c r="B661" s="14" t="s">
        <v>1331</v>
      </c>
      <c r="C661" s="14" t="s">
        <v>167</v>
      </c>
      <c r="D661" s="14" t="s">
        <v>447</v>
      </c>
      <c r="E661" s="99" t="s">
        <v>1288</v>
      </c>
    </row>
    <row r="662" outlineLevel="1">
      <c r="A662" s="104"/>
      <c r="B662" s="14" t="s">
        <v>874</v>
      </c>
      <c r="C662" s="14" t="s">
        <v>136</v>
      </c>
      <c r="D662" s="14" t="s">
        <v>167</v>
      </c>
      <c r="E662" s="99" t="s">
        <v>1288</v>
      </c>
    </row>
    <row r="663" outlineLevel="1">
      <c r="A663" s="104"/>
      <c r="B663" s="14" t="s">
        <v>871</v>
      </c>
      <c r="C663" s="14" t="s">
        <v>120</v>
      </c>
      <c r="D663" s="14" t="s">
        <v>136</v>
      </c>
      <c r="E663" s="99" t="s">
        <v>1288</v>
      </c>
    </row>
    <row r="664" outlineLevel="1">
      <c r="A664" s="104"/>
      <c r="B664" s="14" t="s">
        <v>1332</v>
      </c>
      <c r="C664" s="14" t="s">
        <v>136</v>
      </c>
      <c r="D664" s="14" t="s">
        <v>167</v>
      </c>
      <c r="E664" s="99" t="s">
        <v>1288</v>
      </c>
    </row>
    <row r="665" outlineLevel="1">
      <c r="A665" s="104"/>
      <c r="B665" s="14" t="s">
        <v>1333</v>
      </c>
      <c r="C665" s="14" t="s">
        <v>92</v>
      </c>
      <c r="D665" s="14" t="s">
        <v>120</v>
      </c>
      <c r="E665" s="99" t="s">
        <v>1288</v>
      </c>
    </row>
    <row r="666" outlineLevel="1">
      <c r="A666" s="104"/>
      <c r="B666" s="14" t="s">
        <v>1334</v>
      </c>
      <c r="C666" s="14" t="s">
        <v>120</v>
      </c>
      <c r="D666" s="14" t="s">
        <v>136</v>
      </c>
      <c r="E666" s="99" t="s">
        <v>1288</v>
      </c>
    </row>
    <row r="667" outlineLevel="1">
      <c r="A667" s="104"/>
      <c r="B667" s="14" t="s">
        <v>1335</v>
      </c>
      <c r="C667" s="14" t="s">
        <v>167</v>
      </c>
      <c r="D667" s="14" t="s">
        <v>423</v>
      </c>
      <c r="E667" s="99" t="s">
        <v>1288</v>
      </c>
    </row>
    <row r="668" outlineLevel="1">
      <c r="A668" s="104"/>
      <c r="B668" s="14" t="s">
        <v>1336</v>
      </c>
      <c r="C668" s="14" t="s">
        <v>120</v>
      </c>
      <c r="D668" s="14" t="s">
        <v>136</v>
      </c>
      <c r="E668" s="99" t="s">
        <v>1288</v>
      </c>
    </row>
    <row r="669" outlineLevel="1">
      <c r="A669" s="104"/>
      <c r="B669" s="14" t="s">
        <v>658</v>
      </c>
      <c r="C669" s="14" t="s">
        <v>92</v>
      </c>
      <c r="D669" s="14" t="s">
        <v>120</v>
      </c>
      <c r="E669" s="99" t="s">
        <v>1288</v>
      </c>
    </row>
    <row r="670" outlineLevel="1">
      <c r="A670" s="104"/>
      <c r="B670" s="14" t="s">
        <v>1337</v>
      </c>
      <c r="C670" s="14" t="s">
        <v>167</v>
      </c>
      <c r="D670" s="14" t="s">
        <v>447</v>
      </c>
      <c r="E670" s="99" t="s">
        <v>1288</v>
      </c>
    </row>
    <row r="671" outlineLevel="1">
      <c r="A671" s="104"/>
      <c r="B671" s="14" t="s">
        <v>1338</v>
      </c>
      <c r="C671" s="14" t="s">
        <v>136</v>
      </c>
      <c r="D671" s="14" t="s">
        <v>423</v>
      </c>
      <c r="E671" s="99" t="s">
        <v>1288</v>
      </c>
    </row>
    <row r="672" outlineLevel="1">
      <c r="A672" s="104"/>
      <c r="B672" s="14"/>
      <c r="C672" s="14"/>
      <c r="D672" s="14"/>
    </row>
    <row r="673" outlineLevel="1">
      <c r="A673" s="107"/>
      <c r="B673" s="11" t="s">
        <v>397</v>
      </c>
    </row>
    <row r="674" outlineLevel="1">
      <c r="A674" s="107"/>
      <c r="B674" s="11" t="s">
        <v>54</v>
      </c>
      <c r="C674" s="11" t="s">
        <v>1275</v>
      </c>
      <c r="D674" s="58" t="s">
        <v>1276</v>
      </c>
      <c r="E674" s="58" t="s">
        <v>421</v>
      </c>
    </row>
    <row r="675" outlineLevel="1">
      <c r="A675" s="104"/>
      <c r="B675" s="14" t="s">
        <v>1339</v>
      </c>
      <c r="C675" s="14" t="s">
        <v>92</v>
      </c>
      <c r="D675" s="14" t="s">
        <v>167</v>
      </c>
      <c r="E675" s="99" t="s">
        <v>1340</v>
      </c>
    </row>
    <row r="676" outlineLevel="1">
      <c r="A676" s="104"/>
      <c r="B676" s="14" t="s">
        <v>1341</v>
      </c>
      <c r="C676" s="14" t="s">
        <v>92</v>
      </c>
      <c r="D676" s="14" t="s">
        <v>167</v>
      </c>
      <c r="E676" s="99" t="s">
        <v>1340</v>
      </c>
    </row>
    <row r="677" outlineLevel="1">
      <c r="A677" s="104"/>
      <c r="B677" s="14" t="s">
        <v>808</v>
      </c>
      <c r="C677" s="14" t="s">
        <v>167</v>
      </c>
      <c r="D677" s="14" t="s">
        <v>447</v>
      </c>
      <c r="E677" s="99" t="s">
        <v>1342</v>
      </c>
    </row>
    <row r="678" outlineLevel="1">
      <c r="A678" s="104"/>
      <c r="B678" s="14" t="s">
        <v>1343</v>
      </c>
      <c r="C678" s="98" t="s">
        <v>12</v>
      </c>
      <c r="D678" s="14" t="s">
        <v>71</v>
      </c>
      <c r="E678" s="99" t="s">
        <v>1344</v>
      </c>
    </row>
    <row r="679" outlineLevel="1">
      <c r="A679" s="104"/>
      <c r="B679" s="14" t="s">
        <v>1345</v>
      </c>
      <c r="C679" s="98" t="s">
        <v>12</v>
      </c>
      <c r="D679" s="14" t="s">
        <v>120</v>
      </c>
      <c r="E679" s="99" t="s">
        <v>1346</v>
      </c>
    </row>
    <row r="680" outlineLevel="1">
      <c r="A680" s="104"/>
      <c r="B680" s="14" t="s">
        <v>1347</v>
      </c>
      <c r="C680" s="14" t="s">
        <v>136</v>
      </c>
      <c r="D680" s="14" t="s">
        <v>120</v>
      </c>
      <c r="E680" s="99" t="s">
        <v>1348</v>
      </c>
    </row>
    <row r="681" outlineLevel="1">
      <c r="A681" s="104"/>
      <c r="B681" s="14" t="s">
        <v>1349</v>
      </c>
      <c r="C681" s="14" t="s">
        <v>120</v>
      </c>
      <c r="D681" s="14" t="s">
        <v>92</v>
      </c>
      <c r="E681" s="99" t="s">
        <v>1350</v>
      </c>
    </row>
    <row r="682" outlineLevel="1">
      <c r="A682" s="104"/>
      <c r="B682" s="14" t="s">
        <v>1351</v>
      </c>
      <c r="C682" s="14" t="s">
        <v>92</v>
      </c>
      <c r="D682" s="14" t="s">
        <v>167</v>
      </c>
      <c r="E682" s="99" t="s">
        <v>1352</v>
      </c>
    </row>
    <row r="683" outlineLevel="1">
      <c r="A683" s="104"/>
      <c r="B683" s="14" t="s">
        <v>1353</v>
      </c>
      <c r="C683" s="98" t="s">
        <v>12</v>
      </c>
      <c r="D683" s="14" t="s">
        <v>92</v>
      </c>
      <c r="E683" s="99" t="s">
        <v>1354</v>
      </c>
    </row>
    <row r="684" outlineLevel="1">
      <c r="A684" s="104"/>
      <c r="B684" s="14" t="s">
        <v>1355</v>
      </c>
      <c r="C684" s="14" t="s">
        <v>120</v>
      </c>
      <c r="D684" s="14" t="s">
        <v>136</v>
      </c>
      <c r="E684" s="99" t="s">
        <v>1288</v>
      </c>
    </row>
    <row r="685" outlineLevel="1">
      <c r="A685" s="104"/>
      <c r="B685" s="14" t="s">
        <v>1356</v>
      </c>
      <c r="C685" s="14" t="s">
        <v>167</v>
      </c>
      <c r="D685" s="14" t="s">
        <v>447</v>
      </c>
      <c r="E685" s="99" t="s">
        <v>1288</v>
      </c>
    </row>
    <row r="686" outlineLevel="1">
      <c r="A686" s="104"/>
      <c r="B686" s="14" t="s">
        <v>1357</v>
      </c>
      <c r="C686" s="14" t="s">
        <v>92</v>
      </c>
      <c r="D686" s="14" t="s">
        <v>120</v>
      </c>
      <c r="E686" s="99" t="s">
        <v>1288</v>
      </c>
    </row>
    <row r="687" outlineLevel="1">
      <c r="A687" s="104"/>
      <c r="B687" s="14" t="s">
        <v>1358</v>
      </c>
      <c r="C687" s="14" t="s">
        <v>167</v>
      </c>
      <c r="D687" s="14" t="s">
        <v>423</v>
      </c>
      <c r="E687" s="99" t="s">
        <v>1288</v>
      </c>
    </row>
    <row r="688" outlineLevel="1">
      <c r="A688" s="104"/>
      <c r="B688" s="14" t="s">
        <v>1359</v>
      </c>
      <c r="C688" s="14" t="s">
        <v>136</v>
      </c>
      <c r="D688" s="14" t="s">
        <v>167</v>
      </c>
      <c r="E688" s="99" t="s">
        <v>1288</v>
      </c>
    </row>
    <row r="689" outlineLevel="1">
      <c r="A689" s="104"/>
      <c r="B689" s="14" t="s">
        <v>1360</v>
      </c>
      <c r="C689" s="14" t="s">
        <v>167</v>
      </c>
      <c r="D689" s="14" t="s">
        <v>423</v>
      </c>
      <c r="E689" s="99" t="s">
        <v>1288</v>
      </c>
    </row>
    <row r="690" outlineLevel="1">
      <c r="A690" s="104"/>
      <c r="B690" s="14" t="s">
        <v>1361</v>
      </c>
      <c r="C690" s="14" t="s">
        <v>120</v>
      </c>
      <c r="D690" s="14" t="s">
        <v>136</v>
      </c>
      <c r="E690" s="99" t="s">
        <v>1288</v>
      </c>
    </row>
    <row r="691" outlineLevel="1">
      <c r="A691" s="104"/>
      <c r="B691" s="14" t="s">
        <v>1362</v>
      </c>
      <c r="C691" s="14" t="s">
        <v>92</v>
      </c>
      <c r="D691" s="14" t="s">
        <v>120</v>
      </c>
      <c r="E691" s="99" t="s">
        <v>1288</v>
      </c>
    </row>
    <row r="692" outlineLevel="1">
      <c r="A692" s="104"/>
      <c r="B692" s="14" t="s">
        <v>1363</v>
      </c>
      <c r="C692" s="14" t="s">
        <v>92</v>
      </c>
      <c r="D692" s="14" t="s">
        <v>120</v>
      </c>
      <c r="E692" s="99" t="s">
        <v>1288</v>
      </c>
    </row>
    <row r="693" outlineLevel="1">
      <c r="A693" s="104"/>
      <c r="B693" s="14" t="s">
        <v>1364</v>
      </c>
      <c r="C693" s="14" t="s">
        <v>92</v>
      </c>
      <c r="D693" s="14" t="s">
        <v>120</v>
      </c>
      <c r="E693" s="99" t="s">
        <v>1288</v>
      </c>
    </row>
    <row r="694" outlineLevel="1">
      <c r="A694" s="104"/>
      <c r="B694" s="14" t="s">
        <v>1365</v>
      </c>
      <c r="C694" s="14" t="s">
        <v>167</v>
      </c>
      <c r="D694" s="14" t="s">
        <v>423</v>
      </c>
      <c r="E694" s="99" t="s">
        <v>1288</v>
      </c>
    </row>
    <row r="695" outlineLevel="1">
      <c r="A695" s="104"/>
      <c r="B695" s="14" t="s">
        <v>1366</v>
      </c>
      <c r="C695" s="14" t="s">
        <v>136</v>
      </c>
      <c r="D695" s="14" t="s">
        <v>423</v>
      </c>
      <c r="E695" s="99" t="s">
        <v>1288</v>
      </c>
    </row>
    <row r="696" outlineLevel="1">
      <c r="A696" s="104"/>
      <c r="B696" s="14" t="s">
        <v>1367</v>
      </c>
      <c r="C696" s="14" t="s">
        <v>167</v>
      </c>
      <c r="D696" s="14" t="s">
        <v>423</v>
      </c>
      <c r="E696" s="99" t="s">
        <v>1288</v>
      </c>
    </row>
    <row r="697" outlineLevel="1">
      <c r="A697" s="104"/>
      <c r="B697" s="14" t="s">
        <v>1368</v>
      </c>
      <c r="C697" s="14" t="s">
        <v>120</v>
      </c>
      <c r="D697" s="14" t="s">
        <v>136</v>
      </c>
      <c r="E697" s="99" t="s">
        <v>1288</v>
      </c>
    </row>
    <row r="698" outlineLevel="1">
      <c r="A698" s="104"/>
      <c r="B698" s="14" t="s">
        <v>1369</v>
      </c>
      <c r="C698" s="14" t="s">
        <v>167</v>
      </c>
      <c r="D698" s="14" t="s">
        <v>447</v>
      </c>
      <c r="E698" s="99" t="s">
        <v>1288</v>
      </c>
    </row>
    <row r="699" outlineLevel="1">
      <c r="A699" s="104"/>
      <c r="B699" s="14" t="s">
        <v>1254</v>
      </c>
      <c r="C699" s="14" t="s">
        <v>92</v>
      </c>
      <c r="D699" s="14" t="s">
        <v>120</v>
      </c>
      <c r="E699" s="99" t="s">
        <v>1288</v>
      </c>
    </row>
    <row r="700" outlineLevel="1">
      <c r="A700" s="104"/>
      <c r="B700" s="14" t="s">
        <v>1370</v>
      </c>
      <c r="C700" s="14" t="s">
        <v>92</v>
      </c>
      <c r="D700" s="14" t="s">
        <v>167</v>
      </c>
      <c r="E700" s="99" t="s">
        <v>1371</v>
      </c>
    </row>
    <row r="701" outlineLevel="1">
      <c r="A701" s="104"/>
      <c r="B701" s="14" t="s">
        <v>1372</v>
      </c>
      <c r="C701" s="14" t="s">
        <v>120</v>
      </c>
      <c r="D701" s="14" t="s">
        <v>167</v>
      </c>
      <c r="E701" s="99" t="s">
        <v>1371</v>
      </c>
    </row>
    <row r="702" outlineLevel="1">
      <c r="A702" s="104"/>
      <c r="B702" s="14"/>
      <c r="C702" s="14"/>
      <c r="D702" s="14"/>
    </row>
    <row r="703" outlineLevel="1">
      <c r="A703" s="108"/>
      <c r="B703" s="109" t="s">
        <v>394</v>
      </c>
    </row>
    <row r="704" outlineLevel="1">
      <c r="A704" s="110"/>
      <c r="B704" s="111" t="s">
        <v>54</v>
      </c>
      <c r="C704" s="111" t="s">
        <v>1275</v>
      </c>
      <c r="D704" s="46" t="s">
        <v>1276</v>
      </c>
      <c r="E704" s="112" t="s">
        <v>421</v>
      </c>
    </row>
    <row r="705" outlineLevel="1">
      <c r="A705" s="104"/>
      <c r="B705" s="14" t="s">
        <v>1373</v>
      </c>
      <c r="C705" s="98" t="s">
        <v>12</v>
      </c>
      <c r="D705" s="14" t="s">
        <v>71</v>
      </c>
      <c r="E705" s="99" t="s">
        <v>1374</v>
      </c>
    </row>
    <row r="706" outlineLevel="1">
      <c r="A706" s="104"/>
      <c r="B706" s="14" t="s">
        <v>1375</v>
      </c>
      <c r="C706" s="98" t="s">
        <v>12</v>
      </c>
      <c r="D706" s="14" t="s">
        <v>120</v>
      </c>
      <c r="E706" s="99" t="s">
        <v>1376</v>
      </c>
    </row>
    <row r="707" outlineLevel="1">
      <c r="A707" s="104"/>
      <c r="B707" s="14" t="s">
        <v>1377</v>
      </c>
      <c r="C707" s="98" t="s">
        <v>12</v>
      </c>
      <c r="D707" s="14" t="s">
        <v>136</v>
      </c>
      <c r="E707" s="99" t="s">
        <v>1378</v>
      </c>
    </row>
    <row r="708" outlineLevel="1">
      <c r="A708" s="104"/>
      <c r="B708" s="14" t="s">
        <v>1379</v>
      </c>
      <c r="C708" s="14" t="s">
        <v>71</v>
      </c>
      <c r="D708" s="14" t="s">
        <v>92</v>
      </c>
      <c r="E708" s="99" t="s">
        <v>1380</v>
      </c>
    </row>
    <row r="709" outlineLevel="1">
      <c r="A709" s="104"/>
      <c r="B709" s="14" t="s">
        <v>1381</v>
      </c>
      <c r="C709" s="14" t="s">
        <v>71</v>
      </c>
      <c r="D709" s="14" t="s">
        <v>92</v>
      </c>
      <c r="E709" s="99" t="s">
        <v>1288</v>
      </c>
    </row>
    <row r="710" outlineLevel="1">
      <c r="A710" s="104"/>
      <c r="B710" s="14" t="s">
        <v>1382</v>
      </c>
      <c r="C710" s="14" t="s">
        <v>167</v>
      </c>
      <c r="D710" s="14" t="s">
        <v>423</v>
      </c>
      <c r="E710" s="99" t="s">
        <v>1288</v>
      </c>
    </row>
    <row r="711" outlineLevel="1">
      <c r="A711" s="104"/>
      <c r="B711" s="14" t="s">
        <v>1383</v>
      </c>
      <c r="C711" s="14" t="s">
        <v>120</v>
      </c>
      <c r="D711" s="14" t="s">
        <v>136</v>
      </c>
      <c r="E711" s="99" t="s">
        <v>1288</v>
      </c>
    </row>
    <row r="712" outlineLevel="1">
      <c r="A712" s="104"/>
      <c r="B712" s="14" t="s">
        <v>1384</v>
      </c>
      <c r="C712" s="14" t="s">
        <v>136</v>
      </c>
      <c r="D712" s="14" t="s">
        <v>167</v>
      </c>
      <c r="E712" s="99" t="s">
        <v>1288</v>
      </c>
    </row>
    <row r="713" outlineLevel="1">
      <c r="A713" s="104"/>
      <c r="B713" s="14" t="s">
        <v>1385</v>
      </c>
      <c r="C713" s="14" t="s">
        <v>120</v>
      </c>
      <c r="D713" s="14" t="s">
        <v>136</v>
      </c>
      <c r="E713" s="99" t="s">
        <v>1288</v>
      </c>
    </row>
    <row r="714" outlineLevel="1">
      <c r="A714" s="104"/>
      <c r="B714" s="14" t="s">
        <v>1386</v>
      </c>
      <c r="C714" s="14" t="s">
        <v>136</v>
      </c>
      <c r="D714" s="14" t="s">
        <v>167</v>
      </c>
      <c r="E714" s="99" t="s">
        <v>1288</v>
      </c>
    </row>
    <row r="715" outlineLevel="1">
      <c r="A715" s="104"/>
      <c r="B715" s="14" t="s">
        <v>1387</v>
      </c>
      <c r="C715" s="14" t="s">
        <v>120</v>
      </c>
      <c r="D715" s="14" t="s">
        <v>136</v>
      </c>
      <c r="E715" s="99" t="s">
        <v>1288</v>
      </c>
    </row>
    <row r="716" outlineLevel="1">
      <c r="A716" s="104"/>
      <c r="B716" s="14" t="s">
        <v>1388</v>
      </c>
      <c r="C716" s="14" t="s">
        <v>167</v>
      </c>
      <c r="D716" s="14" t="s">
        <v>423</v>
      </c>
      <c r="E716" s="99" t="s">
        <v>1288</v>
      </c>
    </row>
    <row r="717" outlineLevel="1">
      <c r="A717" s="104"/>
      <c r="B717" s="14" t="s">
        <v>1389</v>
      </c>
      <c r="C717" s="14" t="s">
        <v>136</v>
      </c>
      <c r="D717" s="14" t="s">
        <v>167</v>
      </c>
      <c r="E717" s="99" t="s">
        <v>1288</v>
      </c>
    </row>
    <row r="718" outlineLevel="1">
      <c r="A718" s="100"/>
      <c r="C718" s="101"/>
    </row>
    <row r="719" outlineLevel="1">
      <c r="A719" s="105"/>
      <c r="B719" s="58" t="s">
        <v>1390</v>
      </c>
    </row>
    <row r="720" outlineLevel="1">
      <c r="A720" s="106"/>
      <c r="B720" s="98" t="s">
        <v>1205</v>
      </c>
      <c r="C720" s="98" t="s">
        <v>120</v>
      </c>
      <c r="D720" s="14" t="s">
        <v>92</v>
      </c>
      <c r="E720" s="99" t="s">
        <v>1391</v>
      </c>
    </row>
    <row r="721" outlineLevel="1">
      <c r="A721" s="106"/>
      <c r="B721" s="98" t="s">
        <v>745</v>
      </c>
      <c r="C721" s="98" t="s">
        <v>120</v>
      </c>
      <c r="D721" s="14" t="s">
        <v>92</v>
      </c>
      <c r="E721" s="99" t="s">
        <v>1306</v>
      </c>
    </row>
    <row r="722" outlineLevel="1">
      <c r="A722" s="106"/>
      <c r="B722" s="98" t="s">
        <v>876</v>
      </c>
      <c r="C722" s="14" t="s">
        <v>92</v>
      </c>
      <c r="D722" s="14" t="s">
        <v>71</v>
      </c>
      <c r="E722" s="99" t="s">
        <v>1306</v>
      </c>
    </row>
    <row r="723" outlineLevel="1">
      <c r="A723" s="106"/>
      <c r="B723" s="98" t="s">
        <v>1392</v>
      </c>
      <c r="C723" s="98" t="s">
        <v>12</v>
      </c>
      <c r="D723" s="14" t="s">
        <v>92</v>
      </c>
      <c r="E723" s="99" t="s">
        <v>1393</v>
      </c>
    </row>
    <row r="724" outlineLevel="1">
      <c r="A724" s="106"/>
      <c r="B724" s="98" t="s">
        <v>1394</v>
      </c>
      <c r="C724" s="14" t="s">
        <v>136</v>
      </c>
      <c r="D724" s="14" t="s">
        <v>92</v>
      </c>
      <c r="E724" s="99" t="s">
        <v>1395</v>
      </c>
    </row>
    <row r="725" outlineLevel="1">
      <c r="A725" s="100"/>
      <c r="C725" s="101"/>
    </row>
    <row r="726" outlineLevel="1">
      <c r="A726" s="105"/>
      <c r="B726" s="58" t="s">
        <v>1396</v>
      </c>
    </row>
    <row r="727" outlineLevel="1">
      <c r="A727" s="110"/>
      <c r="B727" s="111" t="s">
        <v>54</v>
      </c>
      <c r="C727" s="111" t="s">
        <v>1275</v>
      </c>
      <c r="D727" s="46" t="s">
        <v>1276</v>
      </c>
      <c r="E727" s="112" t="s">
        <v>421</v>
      </c>
    </row>
    <row r="728" outlineLevel="1">
      <c r="A728" s="106"/>
      <c r="B728" s="98" t="s">
        <v>1397</v>
      </c>
      <c r="C728" s="98" t="s">
        <v>12</v>
      </c>
      <c r="D728" s="98">
        <v>2.0</v>
      </c>
      <c r="E728" s="99" t="s">
        <v>1398</v>
      </c>
    </row>
    <row r="729" outlineLevel="1">
      <c r="A729" s="106"/>
      <c r="B729" s="98" t="s">
        <v>750</v>
      </c>
      <c r="C729" s="98" t="s">
        <v>12</v>
      </c>
      <c r="D729" s="98">
        <v>1.0</v>
      </c>
      <c r="E729" s="99" t="s">
        <v>1399</v>
      </c>
    </row>
    <row r="730" outlineLevel="1">
      <c r="A730" s="106"/>
      <c r="B730" s="98" t="s">
        <v>1400</v>
      </c>
      <c r="C730" s="98" t="s">
        <v>12</v>
      </c>
      <c r="D730" s="98">
        <v>2.0</v>
      </c>
      <c r="E730" s="99" t="s">
        <v>1401</v>
      </c>
    </row>
    <row r="731" outlineLevel="1">
      <c r="A731" s="106"/>
      <c r="B731" s="98" t="s">
        <v>1402</v>
      </c>
      <c r="C731" s="98" t="s">
        <v>12</v>
      </c>
      <c r="D731" s="98">
        <v>2.0</v>
      </c>
      <c r="E731" s="99" t="s">
        <v>1403</v>
      </c>
    </row>
    <row r="732" outlineLevel="1">
      <c r="A732" s="106"/>
      <c r="B732" s="98" t="s">
        <v>1404</v>
      </c>
      <c r="C732" s="98">
        <v>1.0</v>
      </c>
      <c r="D732" s="98">
        <v>2.0</v>
      </c>
      <c r="E732" s="99" t="s">
        <v>1405</v>
      </c>
    </row>
    <row r="733" outlineLevel="1">
      <c r="A733" s="106"/>
      <c r="B733" s="98" t="s">
        <v>1406</v>
      </c>
      <c r="C733" s="98" t="s">
        <v>12</v>
      </c>
      <c r="D733" s="98">
        <v>1.0</v>
      </c>
      <c r="E733" s="99" t="s">
        <v>1407</v>
      </c>
    </row>
    <row r="734" outlineLevel="1">
      <c r="A734" s="106"/>
      <c r="B734" s="98" t="s">
        <v>1408</v>
      </c>
      <c r="C734" s="98" t="s">
        <v>12</v>
      </c>
      <c r="D734" s="98">
        <v>1.0</v>
      </c>
      <c r="E734" s="99" t="s">
        <v>1409</v>
      </c>
    </row>
    <row r="735" outlineLevel="1">
      <c r="A735" s="106"/>
      <c r="B735" s="98" t="s">
        <v>1266</v>
      </c>
      <c r="C735" s="98" t="s">
        <v>12</v>
      </c>
      <c r="D735" s="98">
        <v>1.0</v>
      </c>
      <c r="E735" s="99" t="s">
        <v>1409</v>
      </c>
    </row>
    <row r="736" outlineLevel="1">
      <c r="A736" s="106"/>
      <c r="B736" s="98" t="s">
        <v>1410</v>
      </c>
      <c r="C736" s="98" t="s">
        <v>12</v>
      </c>
      <c r="D736" s="98">
        <v>2.0</v>
      </c>
      <c r="E736" s="99" t="s">
        <v>1411</v>
      </c>
    </row>
    <row r="737" outlineLevel="1">
      <c r="A737" s="106"/>
      <c r="B737" s="98" t="s">
        <v>1412</v>
      </c>
      <c r="C737" s="98" t="s">
        <v>12</v>
      </c>
      <c r="D737" s="98">
        <v>1.0</v>
      </c>
      <c r="E737" s="99" t="s">
        <v>1413</v>
      </c>
    </row>
    <row r="738" outlineLevel="1">
      <c r="A738" s="106"/>
      <c r="B738" s="98" t="s">
        <v>1414</v>
      </c>
      <c r="C738" s="98" t="s">
        <v>12</v>
      </c>
      <c r="D738" s="98">
        <v>2.0</v>
      </c>
      <c r="E738" s="99" t="s">
        <v>1415</v>
      </c>
    </row>
    <row r="739" outlineLevel="1">
      <c r="A739" s="106"/>
      <c r="B739" s="98" t="s">
        <v>1416</v>
      </c>
      <c r="C739" s="98">
        <v>1.0</v>
      </c>
      <c r="D739" s="98">
        <v>2.0</v>
      </c>
      <c r="E739" s="99" t="s">
        <v>1417</v>
      </c>
    </row>
    <row r="740" outlineLevel="1">
      <c r="A740" s="106"/>
      <c r="B740" s="98" t="s">
        <v>1418</v>
      </c>
      <c r="C740" s="98" t="s">
        <v>12</v>
      </c>
      <c r="D740" s="98">
        <v>1.0</v>
      </c>
      <c r="E740" s="99" t="s">
        <v>1419</v>
      </c>
    </row>
    <row r="741" outlineLevel="1">
      <c r="A741" s="106"/>
      <c r="B741" s="98" t="s">
        <v>1420</v>
      </c>
      <c r="C741" s="98" t="s">
        <v>12</v>
      </c>
      <c r="D741" s="98">
        <v>1.0</v>
      </c>
      <c r="E741" s="99" t="s">
        <v>1421</v>
      </c>
    </row>
    <row r="742" outlineLevel="1">
      <c r="A742" s="106"/>
      <c r="B742" s="98" t="s">
        <v>1422</v>
      </c>
      <c r="C742" s="98">
        <v>1.0</v>
      </c>
      <c r="D742" s="98">
        <v>2.0</v>
      </c>
      <c r="E742" s="99" t="s">
        <v>1423</v>
      </c>
    </row>
    <row r="743" outlineLevel="1">
      <c r="A743" s="106"/>
      <c r="B743" s="98" t="s">
        <v>1424</v>
      </c>
      <c r="C743" s="98" t="s">
        <v>12</v>
      </c>
      <c r="D743" s="98">
        <v>1.0</v>
      </c>
      <c r="E743" s="99" t="s">
        <v>1425</v>
      </c>
    </row>
    <row r="744" outlineLevel="1">
      <c r="A744" s="106"/>
      <c r="B744" s="98" t="s">
        <v>690</v>
      </c>
      <c r="C744" s="98">
        <v>1.0</v>
      </c>
      <c r="D744" s="98">
        <v>2.0</v>
      </c>
      <c r="E744" s="99" t="s">
        <v>1426</v>
      </c>
    </row>
    <row r="745" outlineLevel="1">
      <c r="A745" s="106"/>
      <c r="B745" s="98" t="s">
        <v>1427</v>
      </c>
      <c r="C745" s="98" t="s">
        <v>12</v>
      </c>
      <c r="D745" s="98" t="s">
        <v>12</v>
      </c>
      <c r="E745" s="99" t="s">
        <v>1428</v>
      </c>
    </row>
    <row r="746" outlineLevel="1">
      <c r="A746" s="106"/>
      <c r="B746" s="98"/>
      <c r="C746" s="98"/>
      <c r="D746" s="98"/>
      <c r="E746" s="99"/>
    </row>
    <row r="747" outlineLevel="1">
      <c r="A747" s="105"/>
      <c r="B747" s="58" t="s">
        <v>1429</v>
      </c>
    </row>
    <row r="748" outlineLevel="1">
      <c r="A748" s="110"/>
      <c r="B748" s="111" t="s">
        <v>54</v>
      </c>
      <c r="C748" s="111" t="s">
        <v>1275</v>
      </c>
      <c r="D748" s="46" t="s">
        <v>1276</v>
      </c>
      <c r="E748" s="112" t="s">
        <v>421</v>
      </c>
    </row>
    <row r="749" outlineLevel="1">
      <c r="A749" s="113"/>
      <c r="B749" s="114" t="s">
        <v>1430</v>
      </c>
      <c r="C749" s="98" t="s">
        <v>12</v>
      </c>
      <c r="D749" s="115" t="s">
        <v>92</v>
      </c>
      <c r="E749" s="99" t="s">
        <v>1431</v>
      </c>
    </row>
    <row r="750" outlineLevel="1">
      <c r="A750" s="113"/>
      <c r="B750" s="114" t="s">
        <v>1093</v>
      </c>
      <c r="C750" s="98" t="s">
        <v>120</v>
      </c>
      <c r="D750" s="115" t="s">
        <v>167</v>
      </c>
      <c r="E750" s="99" t="s">
        <v>1432</v>
      </c>
    </row>
    <row r="751" outlineLevel="1">
      <c r="A751" s="106"/>
      <c r="B751" s="98" t="s">
        <v>1161</v>
      </c>
      <c r="C751" s="98" t="s">
        <v>120</v>
      </c>
      <c r="D751" s="101" t="s">
        <v>423</v>
      </c>
      <c r="E751" s="99" t="s">
        <v>1432</v>
      </c>
    </row>
    <row r="752" outlineLevel="1">
      <c r="A752" s="113"/>
      <c r="B752" s="114" t="s">
        <v>1107</v>
      </c>
      <c r="C752" s="98" t="s">
        <v>447</v>
      </c>
      <c r="D752" s="115" t="s">
        <v>423</v>
      </c>
      <c r="E752" s="99" t="s">
        <v>1433</v>
      </c>
    </row>
    <row r="753" outlineLevel="1">
      <c r="A753" s="106"/>
      <c r="B753" s="98" t="s">
        <v>1434</v>
      </c>
      <c r="C753" s="98" t="s">
        <v>136</v>
      </c>
      <c r="D753" s="101" t="s">
        <v>447</v>
      </c>
      <c r="E753" s="99" t="s">
        <v>1435</v>
      </c>
    </row>
    <row r="754" outlineLevel="1">
      <c r="A754" s="106"/>
      <c r="B754" s="98" t="s">
        <v>1138</v>
      </c>
      <c r="C754" s="98" t="s">
        <v>447</v>
      </c>
      <c r="D754" s="101" t="s">
        <v>423</v>
      </c>
      <c r="E754" s="99" t="s">
        <v>1436</v>
      </c>
    </row>
    <row r="755" outlineLevel="1">
      <c r="A755" s="106"/>
      <c r="B755" s="98" t="s">
        <v>1136</v>
      </c>
      <c r="C755" s="98" t="s">
        <v>12</v>
      </c>
      <c r="D755" s="101" t="s">
        <v>167</v>
      </c>
      <c r="E755" s="99" t="s">
        <v>1437</v>
      </c>
    </row>
    <row r="756" outlineLevel="1">
      <c r="A756" s="113"/>
      <c r="B756" s="114" t="s">
        <v>1131</v>
      </c>
      <c r="C756" s="98" t="s">
        <v>136</v>
      </c>
      <c r="D756" s="115" t="s">
        <v>423</v>
      </c>
      <c r="E756" s="99" t="s">
        <v>1438</v>
      </c>
    </row>
    <row r="757" outlineLevel="1">
      <c r="A757" s="113"/>
      <c r="B757" s="114" t="s">
        <v>1121</v>
      </c>
      <c r="C757" s="98" t="s">
        <v>136</v>
      </c>
      <c r="D757" s="115" t="s">
        <v>447</v>
      </c>
      <c r="E757" s="99" t="s">
        <v>1439</v>
      </c>
    </row>
    <row r="758" outlineLevel="1">
      <c r="A758" s="113"/>
      <c r="B758" s="114" t="s">
        <v>1090</v>
      </c>
      <c r="C758" s="98" t="s">
        <v>136</v>
      </c>
      <c r="D758" s="115" t="s">
        <v>447</v>
      </c>
      <c r="E758" s="99" t="s">
        <v>1440</v>
      </c>
    </row>
    <row r="759" outlineLevel="1">
      <c r="A759" s="113"/>
      <c r="B759" s="114" t="s">
        <v>1441</v>
      </c>
      <c r="C759" s="98" t="s">
        <v>12</v>
      </c>
      <c r="D759" s="115" t="s">
        <v>136</v>
      </c>
      <c r="E759" s="99" t="s">
        <v>1442</v>
      </c>
    </row>
    <row r="760" outlineLevel="1">
      <c r="A760" s="113"/>
      <c r="B760" s="114" t="s">
        <v>1443</v>
      </c>
      <c r="C760" s="98" t="s">
        <v>12</v>
      </c>
      <c r="D760" s="115" t="s">
        <v>136</v>
      </c>
      <c r="E760" s="99" t="s">
        <v>1444</v>
      </c>
    </row>
    <row r="761" outlineLevel="1">
      <c r="A761" s="113"/>
      <c r="B761" s="114" t="s">
        <v>1445</v>
      </c>
      <c r="C761" s="98" t="s">
        <v>92</v>
      </c>
      <c r="D761" s="115" t="s">
        <v>120</v>
      </c>
      <c r="E761" s="99" t="s">
        <v>1446</v>
      </c>
    </row>
    <row r="762" outlineLevel="1">
      <c r="A762" s="113"/>
      <c r="B762" s="114" t="s">
        <v>1447</v>
      </c>
      <c r="C762" s="98" t="s">
        <v>167</v>
      </c>
      <c r="D762" s="115" t="s">
        <v>447</v>
      </c>
      <c r="E762" s="99" t="s">
        <v>1448</v>
      </c>
    </row>
    <row r="763" outlineLevel="1">
      <c r="A763" s="106"/>
      <c r="B763" s="98" t="s">
        <v>1162</v>
      </c>
      <c r="C763" s="98" t="s">
        <v>136</v>
      </c>
      <c r="D763" s="101" t="s">
        <v>167</v>
      </c>
      <c r="E763" s="99" t="s">
        <v>1449</v>
      </c>
    </row>
    <row r="764" outlineLevel="1">
      <c r="A764" s="106"/>
      <c r="B764" s="98" t="s">
        <v>1450</v>
      </c>
      <c r="C764" s="98" t="s">
        <v>120</v>
      </c>
      <c r="D764" s="101" t="s">
        <v>447</v>
      </c>
      <c r="E764" s="99" t="s">
        <v>1451</v>
      </c>
    </row>
    <row r="765" outlineLevel="1">
      <c r="A765" s="113"/>
      <c r="B765" s="114" t="s">
        <v>1111</v>
      </c>
      <c r="C765" s="98" t="s">
        <v>120</v>
      </c>
      <c r="D765" s="115" t="s">
        <v>423</v>
      </c>
      <c r="E765" s="99" t="s">
        <v>1452</v>
      </c>
    </row>
    <row r="766" outlineLevel="1">
      <c r="A766" s="113"/>
      <c r="B766" s="114" t="s">
        <v>1126</v>
      </c>
      <c r="C766" s="98" t="s">
        <v>92</v>
      </c>
      <c r="D766" s="115" t="s">
        <v>120</v>
      </c>
      <c r="E766" s="99" t="s">
        <v>1452</v>
      </c>
    </row>
    <row r="767" outlineLevel="1">
      <c r="A767" s="113"/>
      <c r="B767" s="114" t="s">
        <v>1453</v>
      </c>
      <c r="C767" s="98" t="s">
        <v>167</v>
      </c>
      <c r="D767" s="115" t="s">
        <v>423</v>
      </c>
      <c r="E767" s="99" t="s">
        <v>1454</v>
      </c>
    </row>
    <row r="768" outlineLevel="1">
      <c r="A768" s="113"/>
      <c r="B768" s="114" t="s">
        <v>756</v>
      </c>
      <c r="C768" s="98" t="s">
        <v>120</v>
      </c>
      <c r="D768" s="115" t="s">
        <v>167</v>
      </c>
      <c r="E768" s="99" t="s">
        <v>1455</v>
      </c>
    </row>
    <row r="769" outlineLevel="1">
      <c r="A769" s="113"/>
      <c r="B769" s="114" t="s">
        <v>1456</v>
      </c>
      <c r="C769" s="98" t="s">
        <v>167</v>
      </c>
      <c r="D769" s="115" t="s">
        <v>447</v>
      </c>
      <c r="E769" s="99" t="s">
        <v>1457</v>
      </c>
    </row>
    <row r="770" outlineLevel="1">
      <c r="A770" s="113"/>
      <c r="B770" s="114" t="s">
        <v>1115</v>
      </c>
      <c r="C770" s="98" t="s">
        <v>92</v>
      </c>
      <c r="D770" s="115" t="s">
        <v>136</v>
      </c>
      <c r="E770" s="99" t="s">
        <v>1458</v>
      </c>
    </row>
    <row r="771" outlineLevel="1">
      <c r="A771" s="106"/>
      <c r="B771" s="98" t="s">
        <v>1459</v>
      </c>
      <c r="C771" s="98" t="s">
        <v>120</v>
      </c>
      <c r="D771" s="101" t="s">
        <v>167</v>
      </c>
      <c r="E771" s="99" t="s">
        <v>1460</v>
      </c>
    </row>
    <row r="772" outlineLevel="1">
      <c r="A772" s="113"/>
      <c r="B772" s="114" t="s">
        <v>1109</v>
      </c>
      <c r="C772" s="98" t="s">
        <v>92</v>
      </c>
      <c r="D772" s="115" t="s">
        <v>136</v>
      </c>
      <c r="E772" s="99" t="s">
        <v>1461</v>
      </c>
    </row>
    <row r="773" outlineLevel="1">
      <c r="A773" s="113"/>
      <c r="B773" s="114" t="s">
        <v>1104</v>
      </c>
      <c r="C773" s="98" t="s">
        <v>136</v>
      </c>
      <c r="D773" s="115" t="s">
        <v>167</v>
      </c>
      <c r="E773" s="99" t="s">
        <v>1462</v>
      </c>
    </row>
    <row r="774" outlineLevel="1">
      <c r="A774" s="113"/>
      <c r="B774" s="114" t="s">
        <v>1463</v>
      </c>
      <c r="C774" s="98" t="s">
        <v>92</v>
      </c>
      <c r="D774" s="115" t="s">
        <v>447</v>
      </c>
      <c r="E774" s="99" t="s">
        <v>1464</v>
      </c>
    </row>
    <row r="775" outlineLevel="1">
      <c r="A775" s="113"/>
      <c r="B775" s="114" t="s">
        <v>1123</v>
      </c>
      <c r="C775" s="98" t="s">
        <v>136</v>
      </c>
      <c r="D775" s="115" t="s">
        <v>120</v>
      </c>
      <c r="E775" s="99" t="s">
        <v>1465</v>
      </c>
    </row>
    <row r="776" outlineLevel="1">
      <c r="A776" s="113"/>
      <c r="B776" s="114" t="s">
        <v>556</v>
      </c>
      <c r="C776" s="98" t="s">
        <v>167</v>
      </c>
      <c r="D776" s="115" t="s">
        <v>136</v>
      </c>
      <c r="E776" s="99" t="s">
        <v>1466</v>
      </c>
    </row>
    <row r="777" outlineLevel="1">
      <c r="A777" s="113"/>
      <c r="B777" s="114" t="s">
        <v>1113</v>
      </c>
      <c r="C777" s="98" t="s">
        <v>71</v>
      </c>
      <c r="D777" s="115" t="s">
        <v>92</v>
      </c>
      <c r="E777" s="99" t="s">
        <v>1467</v>
      </c>
    </row>
    <row r="778" outlineLevel="1">
      <c r="A778" s="113"/>
      <c r="B778" s="114" t="s">
        <v>861</v>
      </c>
      <c r="C778" s="98" t="s">
        <v>167</v>
      </c>
      <c r="D778" s="115" t="s">
        <v>120</v>
      </c>
      <c r="E778" s="99" t="s">
        <v>1468</v>
      </c>
    </row>
    <row r="779" outlineLevel="1">
      <c r="A779" s="113"/>
      <c r="B779" s="114" t="s">
        <v>1119</v>
      </c>
      <c r="C779" s="98" t="s">
        <v>12</v>
      </c>
      <c r="D779" s="115" t="s">
        <v>136</v>
      </c>
      <c r="E779" s="99" t="s">
        <v>1469</v>
      </c>
    </row>
    <row r="780" outlineLevel="1">
      <c r="A780" s="106"/>
      <c r="B780" s="98" t="s">
        <v>1142</v>
      </c>
      <c r="C780" s="98" t="s">
        <v>12</v>
      </c>
      <c r="D780" s="101" t="s">
        <v>71</v>
      </c>
      <c r="E780" s="99" t="s">
        <v>1470</v>
      </c>
    </row>
    <row r="781" outlineLevel="1">
      <c r="A781" s="113"/>
      <c r="B781" s="114" t="s">
        <v>1129</v>
      </c>
      <c r="C781" s="98" t="s">
        <v>92</v>
      </c>
      <c r="D781" s="115" t="s">
        <v>136</v>
      </c>
      <c r="E781" s="99" t="s">
        <v>1471</v>
      </c>
    </row>
    <row r="782" outlineLevel="1">
      <c r="A782" s="113"/>
      <c r="B782" s="114" t="s">
        <v>1472</v>
      </c>
      <c r="C782" s="98" t="s">
        <v>136</v>
      </c>
      <c r="D782" s="115" t="s">
        <v>423</v>
      </c>
      <c r="E782" s="99" t="s">
        <v>1473</v>
      </c>
    </row>
    <row r="783" outlineLevel="1">
      <c r="A783" s="113"/>
      <c r="B783" s="114" t="s">
        <v>859</v>
      </c>
      <c r="C783" s="98" t="s">
        <v>423</v>
      </c>
      <c r="D783" s="115" t="s">
        <v>136</v>
      </c>
      <c r="E783" s="99" t="s">
        <v>1474</v>
      </c>
    </row>
    <row r="784" outlineLevel="1">
      <c r="A784" s="113"/>
      <c r="B784" s="114" t="s">
        <v>1475</v>
      </c>
      <c r="C784" s="98" t="s">
        <v>423</v>
      </c>
      <c r="D784" s="115" t="s">
        <v>167</v>
      </c>
      <c r="E784" s="99" t="s">
        <v>1476</v>
      </c>
    </row>
    <row r="785" outlineLevel="1">
      <c r="A785" s="106"/>
      <c r="B785" s="98" t="s">
        <v>1477</v>
      </c>
      <c r="C785" s="98" t="s">
        <v>136</v>
      </c>
      <c r="D785" s="101" t="s">
        <v>447</v>
      </c>
      <c r="E785" s="99" t="s">
        <v>1478</v>
      </c>
    </row>
    <row r="786" outlineLevel="1">
      <c r="A786" s="113"/>
      <c r="B786" s="114" t="s">
        <v>1127</v>
      </c>
      <c r="C786" s="98" t="s">
        <v>92</v>
      </c>
      <c r="D786" s="115" t="s">
        <v>136</v>
      </c>
      <c r="E786" s="99" t="s">
        <v>1479</v>
      </c>
    </row>
    <row r="787" outlineLevel="1">
      <c r="A787" s="113"/>
      <c r="B787" s="114" t="s">
        <v>1480</v>
      </c>
      <c r="C787" s="98" t="s">
        <v>423</v>
      </c>
      <c r="D787" s="115" t="s">
        <v>447</v>
      </c>
      <c r="E787" s="99" t="s">
        <v>1481</v>
      </c>
    </row>
    <row r="788" outlineLevel="1">
      <c r="A788" s="113"/>
      <c r="B788" s="114" t="s">
        <v>1482</v>
      </c>
      <c r="C788" s="98" t="s">
        <v>423</v>
      </c>
      <c r="D788" s="115" t="s">
        <v>447</v>
      </c>
      <c r="E788" s="99" t="s">
        <v>1481</v>
      </c>
    </row>
    <row r="789" outlineLevel="1">
      <c r="A789" s="113"/>
      <c r="B789" s="114" t="s">
        <v>1483</v>
      </c>
      <c r="C789" s="98" t="s">
        <v>423</v>
      </c>
      <c r="D789" s="115" t="s">
        <v>447</v>
      </c>
      <c r="E789" s="99" t="s">
        <v>1481</v>
      </c>
    </row>
    <row r="790" outlineLevel="1">
      <c r="A790" s="113"/>
      <c r="B790" s="114" t="s">
        <v>891</v>
      </c>
      <c r="C790" s="98" t="s">
        <v>136</v>
      </c>
      <c r="D790" s="115" t="s">
        <v>167</v>
      </c>
      <c r="E790" s="99" t="s">
        <v>1481</v>
      </c>
    </row>
    <row r="791" outlineLevel="1">
      <c r="A791" s="113"/>
      <c r="B791" s="114" t="s">
        <v>1484</v>
      </c>
      <c r="C791" s="98" t="s">
        <v>423</v>
      </c>
      <c r="D791" s="115" t="s">
        <v>447</v>
      </c>
      <c r="E791" s="99" t="s">
        <v>1481</v>
      </c>
    </row>
    <row r="792" outlineLevel="1">
      <c r="A792" s="113"/>
      <c r="B792" s="114" t="s">
        <v>1485</v>
      </c>
      <c r="C792" s="98" t="s">
        <v>120</v>
      </c>
      <c r="D792" s="115" t="s">
        <v>136</v>
      </c>
      <c r="E792" s="99" t="s">
        <v>1481</v>
      </c>
    </row>
    <row r="793" outlineLevel="1">
      <c r="A793" s="113"/>
      <c r="B793" s="114" t="s">
        <v>1486</v>
      </c>
      <c r="C793" s="98" t="s">
        <v>167</v>
      </c>
      <c r="D793" s="115" t="s">
        <v>423</v>
      </c>
      <c r="E793" s="99" t="s">
        <v>1481</v>
      </c>
    </row>
    <row r="794" outlineLevel="1">
      <c r="A794" s="106"/>
      <c r="B794" s="98" t="s">
        <v>1487</v>
      </c>
      <c r="C794" s="98" t="s">
        <v>423</v>
      </c>
      <c r="D794" s="101" t="s">
        <v>447</v>
      </c>
      <c r="E794" s="99" t="s">
        <v>1481</v>
      </c>
    </row>
    <row r="795" outlineLevel="1">
      <c r="A795" s="106"/>
      <c r="B795" s="98" t="s">
        <v>1488</v>
      </c>
      <c r="C795" s="98" t="s">
        <v>167</v>
      </c>
      <c r="D795" s="101" t="s">
        <v>447</v>
      </c>
      <c r="E795" s="99" t="s">
        <v>1481</v>
      </c>
    </row>
    <row r="796" outlineLevel="1">
      <c r="A796" s="106"/>
      <c r="B796" s="98" t="s">
        <v>1489</v>
      </c>
      <c r="C796" s="98" t="s">
        <v>423</v>
      </c>
      <c r="D796" s="101" t="s">
        <v>447</v>
      </c>
      <c r="E796" s="99" t="s">
        <v>1481</v>
      </c>
    </row>
    <row r="797" outlineLevel="1">
      <c r="A797" s="106"/>
      <c r="B797" s="98" t="s">
        <v>1140</v>
      </c>
      <c r="C797" s="98" t="s">
        <v>167</v>
      </c>
      <c r="D797" s="101" t="s">
        <v>423</v>
      </c>
      <c r="E797" s="99" t="s">
        <v>1481</v>
      </c>
    </row>
    <row r="798" outlineLevel="1">
      <c r="A798" s="106"/>
      <c r="B798" s="98" t="s">
        <v>1490</v>
      </c>
      <c r="C798" s="98" t="s">
        <v>423</v>
      </c>
      <c r="D798" s="101" t="s">
        <v>447</v>
      </c>
      <c r="E798" s="99" t="s">
        <v>1481</v>
      </c>
    </row>
    <row r="799" outlineLevel="1">
      <c r="A799" s="106"/>
      <c r="B799" s="98" t="s">
        <v>1491</v>
      </c>
      <c r="C799" s="98" t="s">
        <v>423</v>
      </c>
      <c r="D799" s="101" t="s">
        <v>447</v>
      </c>
      <c r="E799" s="99" t="s">
        <v>1481</v>
      </c>
    </row>
    <row r="800" outlineLevel="1">
      <c r="A800" s="106"/>
      <c r="B800" s="98" t="s">
        <v>1151</v>
      </c>
      <c r="C800" s="98" t="s">
        <v>167</v>
      </c>
      <c r="D800" s="101" t="s">
        <v>423</v>
      </c>
      <c r="E800" s="99" t="s">
        <v>1481</v>
      </c>
    </row>
    <row r="801" outlineLevel="1">
      <c r="A801" s="106"/>
      <c r="B801" s="98" t="s">
        <v>1492</v>
      </c>
      <c r="C801" s="98" t="s">
        <v>423</v>
      </c>
      <c r="D801" s="101" t="s">
        <v>447</v>
      </c>
      <c r="E801" s="99" t="s">
        <v>1481</v>
      </c>
    </row>
    <row r="802" outlineLevel="1">
      <c r="A802" s="106"/>
      <c r="B802" s="98" t="s">
        <v>1155</v>
      </c>
      <c r="C802" s="98" t="s">
        <v>136</v>
      </c>
      <c r="D802" s="101" t="s">
        <v>423</v>
      </c>
      <c r="E802" s="99" t="s">
        <v>1481</v>
      </c>
    </row>
    <row r="803" outlineLevel="1">
      <c r="A803" s="106"/>
      <c r="B803" s="98" t="s">
        <v>1493</v>
      </c>
      <c r="C803" s="98" t="s">
        <v>423</v>
      </c>
      <c r="D803" s="101" t="s">
        <v>447</v>
      </c>
      <c r="E803" s="99" t="s">
        <v>1481</v>
      </c>
    </row>
    <row r="804" outlineLevel="1">
      <c r="A804" s="106"/>
      <c r="B804" s="98" t="s">
        <v>1494</v>
      </c>
      <c r="C804" s="98" t="s">
        <v>423</v>
      </c>
      <c r="D804" s="101" t="s">
        <v>447</v>
      </c>
      <c r="E804" s="99" t="s">
        <v>1481</v>
      </c>
    </row>
    <row r="805" outlineLevel="1">
      <c r="A805" s="106"/>
      <c r="B805" s="98" t="s">
        <v>1495</v>
      </c>
      <c r="C805" s="98" t="s">
        <v>423</v>
      </c>
      <c r="D805" s="101" t="s">
        <v>447</v>
      </c>
      <c r="E805" s="99" t="s">
        <v>1481</v>
      </c>
    </row>
    <row r="806" outlineLevel="1">
      <c r="A806" s="106"/>
      <c r="B806" s="98" t="s">
        <v>1496</v>
      </c>
      <c r="C806" s="98" t="s">
        <v>92</v>
      </c>
      <c r="D806" s="101" t="s">
        <v>120</v>
      </c>
      <c r="E806" s="99" t="s">
        <v>1481</v>
      </c>
    </row>
    <row r="807" outlineLevel="1">
      <c r="A807" s="106"/>
      <c r="B807" s="98" t="s">
        <v>1497</v>
      </c>
      <c r="C807" s="98" t="s">
        <v>423</v>
      </c>
      <c r="D807" s="101" t="s">
        <v>447</v>
      </c>
      <c r="E807" s="99" t="s">
        <v>1481</v>
      </c>
    </row>
    <row r="808" outlineLevel="1">
      <c r="A808" s="106"/>
      <c r="B808" s="98" t="s">
        <v>1158</v>
      </c>
      <c r="C808" s="98" t="s">
        <v>167</v>
      </c>
      <c r="D808" s="101" t="s">
        <v>423</v>
      </c>
      <c r="E808" s="99" t="s">
        <v>1481</v>
      </c>
    </row>
    <row r="809" outlineLevel="1">
      <c r="A809" s="106"/>
      <c r="B809" s="98" t="s">
        <v>1498</v>
      </c>
      <c r="C809" s="98" t="s">
        <v>423</v>
      </c>
      <c r="D809" s="101" t="s">
        <v>447</v>
      </c>
      <c r="E809" s="99" t="s">
        <v>1481</v>
      </c>
    </row>
    <row r="810" outlineLevel="1">
      <c r="A810" s="106"/>
      <c r="B810" s="98" t="s">
        <v>893</v>
      </c>
      <c r="C810" s="98" t="s">
        <v>167</v>
      </c>
      <c r="D810" s="101" t="s">
        <v>447</v>
      </c>
      <c r="E810" s="99" t="s">
        <v>1481</v>
      </c>
    </row>
    <row r="811" outlineLevel="1">
      <c r="A811" s="106"/>
      <c r="B811" s="98" t="s">
        <v>1499</v>
      </c>
      <c r="C811" s="98" t="s">
        <v>423</v>
      </c>
      <c r="D811" s="101" t="s">
        <v>447</v>
      </c>
      <c r="E811" s="99" t="s">
        <v>1481</v>
      </c>
    </row>
    <row r="812" outlineLevel="1">
      <c r="A812" s="106"/>
      <c r="B812" s="98" t="s">
        <v>1500</v>
      </c>
      <c r="C812" s="98" t="s">
        <v>120</v>
      </c>
      <c r="D812" s="101" t="s">
        <v>136</v>
      </c>
      <c r="E812" s="99" t="s">
        <v>1481</v>
      </c>
    </row>
    <row r="813" outlineLevel="1">
      <c r="A813" s="116"/>
      <c r="B813" s="101"/>
      <c r="C813" s="101"/>
      <c r="D813" s="101"/>
    </row>
    <row r="814" outlineLevel="1">
      <c r="A814" s="105"/>
      <c r="B814" s="58" t="s">
        <v>1501</v>
      </c>
    </row>
    <row r="815" outlineLevel="1">
      <c r="A815" s="110"/>
      <c r="B815" s="111" t="s">
        <v>54</v>
      </c>
      <c r="C815" s="111" t="s">
        <v>1275</v>
      </c>
      <c r="D815" s="46" t="s">
        <v>1276</v>
      </c>
      <c r="E815" s="112" t="s">
        <v>421</v>
      </c>
    </row>
    <row r="816" outlineLevel="1">
      <c r="A816" s="113"/>
      <c r="B816" s="114" t="s">
        <v>1059</v>
      </c>
      <c r="C816" s="98" t="s">
        <v>167</v>
      </c>
      <c r="D816" s="98" t="s">
        <v>71</v>
      </c>
      <c r="E816" s="99" t="s">
        <v>1502</v>
      </c>
    </row>
    <row r="817" outlineLevel="1">
      <c r="A817" s="113"/>
      <c r="B817" s="114" t="s">
        <v>1503</v>
      </c>
      <c r="C817" s="98" t="s">
        <v>92</v>
      </c>
      <c r="D817" s="98" t="s">
        <v>71</v>
      </c>
      <c r="E817" s="99" t="s">
        <v>1504</v>
      </c>
    </row>
    <row r="818" outlineLevel="1">
      <c r="A818" s="113"/>
      <c r="B818" s="114" t="s">
        <v>1065</v>
      </c>
      <c r="C818" s="98" t="s">
        <v>167</v>
      </c>
      <c r="D818" s="98" t="s">
        <v>136</v>
      </c>
      <c r="E818" s="99" t="s">
        <v>1505</v>
      </c>
    </row>
    <row r="819" outlineLevel="1">
      <c r="A819" s="113"/>
      <c r="B819" s="114" t="s">
        <v>1506</v>
      </c>
      <c r="C819" s="98" t="s">
        <v>167</v>
      </c>
      <c r="D819" s="98" t="s">
        <v>136</v>
      </c>
      <c r="E819" s="99" t="s">
        <v>1507</v>
      </c>
    </row>
    <row r="820" outlineLevel="1">
      <c r="A820" s="113"/>
      <c r="B820" s="114" t="s">
        <v>1069</v>
      </c>
      <c r="C820" s="98" t="s">
        <v>167</v>
      </c>
      <c r="D820" s="98" t="s">
        <v>423</v>
      </c>
      <c r="E820" s="99" t="s">
        <v>1508</v>
      </c>
    </row>
    <row r="821" outlineLevel="1">
      <c r="A821" s="113"/>
      <c r="B821" s="114" t="s">
        <v>425</v>
      </c>
      <c r="C821" s="98" t="s">
        <v>167</v>
      </c>
      <c r="D821" s="98" t="s">
        <v>423</v>
      </c>
      <c r="E821" s="99" t="s">
        <v>1508</v>
      </c>
    </row>
    <row r="822" outlineLevel="1">
      <c r="A822" s="113"/>
      <c r="B822" s="114" t="s">
        <v>1072</v>
      </c>
      <c r="C822" s="98" t="s">
        <v>447</v>
      </c>
      <c r="D822" s="98" t="s">
        <v>423</v>
      </c>
      <c r="E822" s="99" t="s">
        <v>1508</v>
      </c>
    </row>
    <row r="823" outlineLevel="1">
      <c r="A823" s="113"/>
      <c r="B823" s="114" t="s">
        <v>1509</v>
      </c>
      <c r="C823" s="98" t="s">
        <v>167</v>
      </c>
      <c r="D823" s="98" t="s">
        <v>423</v>
      </c>
      <c r="E823" s="99" t="s">
        <v>1508</v>
      </c>
    </row>
    <row r="824" outlineLevel="1">
      <c r="A824" s="113"/>
      <c r="B824" s="114" t="s">
        <v>1085</v>
      </c>
      <c r="C824" s="98" t="s">
        <v>167</v>
      </c>
      <c r="D824" s="98" t="s">
        <v>423</v>
      </c>
      <c r="E824" s="99" t="s">
        <v>1508</v>
      </c>
    </row>
    <row r="825" outlineLevel="1">
      <c r="A825" s="113"/>
      <c r="B825" s="114" t="s">
        <v>307</v>
      </c>
      <c r="C825" s="98" t="s">
        <v>92</v>
      </c>
      <c r="D825" s="98" t="s">
        <v>71</v>
      </c>
      <c r="E825" s="99" t="s">
        <v>1510</v>
      </c>
    </row>
    <row r="826" outlineLevel="1">
      <c r="A826" s="113"/>
      <c r="B826" s="114" t="s">
        <v>1511</v>
      </c>
      <c r="C826" s="98" t="s">
        <v>12</v>
      </c>
      <c r="D826" s="98" t="s">
        <v>71</v>
      </c>
      <c r="E826" s="99" t="s">
        <v>1512</v>
      </c>
    </row>
    <row r="827" outlineLevel="1">
      <c r="A827" s="113"/>
      <c r="B827" s="114" t="s">
        <v>422</v>
      </c>
      <c r="C827" s="98" t="s">
        <v>136</v>
      </c>
      <c r="D827" s="98" t="s">
        <v>167</v>
      </c>
      <c r="E827" s="99" t="s">
        <v>1513</v>
      </c>
    </row>
    <row r="828" outlineLevel="1">
      <c r="A828" s="113"/>
      <c r="B828" s="114" t="s">
        <v>1514</v>
      </c>
      <c r="C828" s="98" t="s">
        <v>136</v>
      </c>
      <c r="D828" s="98" t="s">
        <v>167</v>
      </c>
      <c r="E828" s="99" t="s">
        <v>1513</v>
      </c>
    </row>
    <row r="829" outlineLevel="1">
      <c r="A829" s="113"/>
      <c r="B829" s="114" t="s">
        <v>1515</v>
      </c>
      <c r="C829" s="98" t="s">
        <v>120</v>
      </c>
      <c r="D829" s="98" t="s">
        <v>167</v>
      </c>
      <c r="E829" s="99" t="s">
        <v>1516</v>
      </c>
    </row>
    <row r="830" outlineLevel="1">
      <c r="A830" s="113"/>
      <c r="B830" s="114" t="s">
        <v>1517</v>
      </c>
      <c r="C830" s="98" t="s">
        <v>136</v>
      </c>
      <c r="D830" s="98" t="s">
        <v>423</v>
      </c>
      <c r="E830" s="99" t="s">
        <v>1518</v>
      </c>
    </row>
    <row r="831" outlineLevel="1">
      <c r="A831" s="113"/>
      <c r="B831" s="114" t="s">
        <v>1519</v>
      </c>
      <c r="C831" s="98" t="s">
        <v>71</v>
      </c>
      <c r="D831" s="98" t="s">
        <v>120</v>
      </c>
      <c r="E831" s="99" t="s">
        <v>1520</v>
      </c>
    </row>
    <row r="832" outlineLevel="1">
      <c r="A832" s="113"/>
      <c r="B832" s="114" t="s">
        <v>1063</v>
      </c>
      <c r="C832" s="98" t="s">
        <v>12</v>
      </c>
      <c r="D832" s="98" t="s">
        <v>167</v>
      </c>
      <c r="E832" s="99" t="s">
        <v>1521</v>
      </c>
    </row>
    <row r="833" outlineLevel="1">
      <c r="A833" s="113"/>
      <c r="B833" s="114" t="s">
        <v>1522</v>
      </c>
      <c r="C833" s="98" t="s">
        <v>120</v>
      </c>
      <c r="D833" s="98" t="s">
        <v>92</v>
      </c>
      <c r="E833" s="99" t="s">
        <v>1523</v>
      </c>
    </row>
    <row r="834" outlineLevel="1">
      <c r="A834" s="113"/>
      <c r="B834" s="114" t="s">
        <v>1524</v>
      </c>
      <c r="C834" s="98" t="s">
        <v>167</v>
      </c>
      <c r="D834" s="98" t="s">
        <v>136</v>
      </c>
      <c r="E834" s="99" t="s">
        <v>1525</v>
      </c>
    </row>
    <row r="835" outlineLevel="1">
      <c r="A835" s="113"/>
      <c r="B835" s="114" t="s">
        <v>1077</v>
      </c>
      <c r="C835" s="98" t="s">
        <v>12</v>
      </c>
      <c r="D835" s="98" t="s">
        <v>71</v>
      </c>
      <c r="E835" s="99" t="s">
        <v>1526</v>
      </c>
    </row>
    <row r="836" outlineLevel="1">
      <c r="A836" s="113"/>
      <c r="B836" s="114" t="s">
        <v>1527</v>
      </c>
      <c r="C836" s="98" t="s">
        <v>120</v>
      </c>
      <c r="D836" s="98" t="s">
        <v>136</v>
      </c>
      <c r="E836" s="99" t="s">
        <v>1528</v>
      </c>
    </row>
    <row r="837" outlineLevel="1">
      <c r="A837" s="113"/>
      <c r="B837" s="114" t="s">
        <v>1529</v>
      </c>
      <c r="C837" s="98" t="s">
        <v>120</v>
      </c>
      <c r="D837" s="98" t="s">
        <v>136</v>
      </c>
      <c r="E837" s="99" t="s">
        <v>1528</v>
      </c>
    </row>
    <row r="838" outlineLevel="1">
      <c r="A838" s="113"/>
      <c r="B838" s="114" t="s">
        <v>1530</v>
      </c>
      <c r="C838" s="98" t="s">
        <v>136</v>
      </c>
      <c r="D838" s="98" t="s">
        <v>167</v>
      </c>
      <c r="E838" s="99" t="s">
        <v>1531</v>
      </c>
    </row>
    <row r="839" outlineLevel="1">
      <c r="A839" s="113"/>
      <c r="B839" s="114" t="s">
        <v>1532</v>
      </c>
      <c r="C839" s="98" t="s">
        <v>120</v>
      </c>
      <c r="D839" s="98" t="s">
        <v>136</v>
      </c>
      <c r="E839" s="99" t="s">
        <v>1533</v>
      </c>
    </row>
    <row r="840" outlineLevel="1">
      <c r="A840" s="113"/>
      <c r="B840" s="114" t="s">
        <v>1534</v>
      </c>
      <c r="C840" s="98" t="s">
        <v>136</v>
      </c>
      <c r="D840" s="98" t="s">
        <v>167</v>
      </c>
      <c r="E840" s="99" t="s">
        <v>1535</v>
      </c>
    </row>
    <row r="841" outlineLevel="1">
      <c r="A841" s="113"/>
      <c r="B841" s="114" t="s">
        <v>1084</v>
      </c>
      <c r="C841" s="98" t="s">
        <v>136</v>
      </c>
      <c r="D841" s="98" t="s">
        <v>167</v>
      </c>
      <c r="E841" s="99" t="s">
        <v>1535</v>
      </c>
    </row>
    <row r="842" outlineLevel="1">
      <c r="A842" s="113"/>
      <c r="B842" s="114" t="s">
        <v>1536</v>
      </c>
      <c r="C842" s="98" t="s">
        <v>120</v>
      </c>
      <c r="D842" s="98" t="s">
        <v>167</v>
      </c>
      <c r="E842" s="99" t="s">
        <v>1537</v>
      </c>
    </row>
    <row r="843" outlineLevel="1">
      <c r="A843" s="113"/>
      <c r="B843" s="114" t="s">
        <v>1057</v>
      </c>
      <c r="C843" s="98" t="s">
        <v>447</v>
      </c>
      <c r="D843" s="98" t="s">
        <v>136</v>
      </c>
      <c r="E843" s="99" t="s">
        <v>1538</v>
      </c>
    </row>
    <row r="844" outlineLevel="1">
      <c r="A844" s="113"/>
      <c r="B844" s="114" t="s">
        <v>1539</v>
      </c>
      <c r="C844" s="98" t="s">
        <v>12</v>
      </c>
      <c r="D844" s="98" t="s">
        <v>92</v>
      </c>
      <c r="E844" s="99" t="s">
        <v>1540</v>
      </c>
    </row>
    <row r="845" outlineLevel="1">
      <c r="A845" s="100"/>
      <c r="C845" s="101"/>
    </row>
    <row r="846" outlineLevel="1">
      <c r="A846" s="105"/>
      <c r="B846" s="58" t="s">
        <v>403</v>
      </c>
    </row>
    <row r="847" outlineLevel="1">
      <c r="A847" s="110"/>
      <c r="B847" s="111" t="s">
        <v>54</v>
      </c>
      <c r="C847" s="111" t="s">
        <v>1275</v>
      </c>
      <c r="D847" s="46" t="s">
        <v>1276</v>
      </c>
      <c r="E847" s="112" t="s">
        <v>421</v>
      </c>
    </row>
    <row r="848" outlineLevel="1">
      <c r="A848" s="113"/>
      <c r="B848" s="114" t="s">
        <v>970</v>
      </c>
      <c r="C848" s="14" t="s">
        <v>167</v>
      </c>
      <c r="D848" s="117" t="s">
        <v>423</v>
      </c>
      <c r="E848" s="99" t="s">
        <v>1541</v>
      </c>
    </row>
    <row r="849" outlineLevel="1">
      <c r="A849" s="113"/>
      <c r="B849" s="114" t="s">
        <v>925</v>
      </c>
      <c r="C849" s="98" t="s">
        <v>12</v>
      </c>
      <c r="D849" s="118" t="s">
        <v>120</v>
      </c>
      <c r="E849" s="99" t="s">
        <v>1542</v>
      </c>
    </row>
    <row r="850" outlineLevel="1">
      <c r="A850" s="113"/>
      <c r="B850" s="114" t="s">
        <v>948</v>
      </c>
      <c r="C850" s="14" t="s">
        <v>120</v>
      </c>
      <c r="D850" s="119" t="s">
        <v>447</v>
      </c>
      <c r="E850" s="99" t="s">
        <v>1543</v>
      </c>
    </row>
    <row r="851" outlineLevel="1">
      <c r="A851" s="113"/>
      <c r="B851" s="114" t="s">
        <v>1544</v>
      </c>
      <c r="C851" s="14" t="s">
        <v>167</v>
      </c>
      <c r="D851" s="120" t="s">
        <v>708</v>
      </c>
      <c r="E851" s="99" t="s">
        <v>1545</v>
      </c>
    </row>
    <row r="852" outlineLevel="1">
      <c r="A852" s="113"/>
      <c r="B852" s="114" t="s">
        <v>936</v>
      </c>
      <c r="C852" s="98" t="s">
        <v>12</v>
      </c>
      <c r="D852" s="121" t="s">
        <v>71</v>
      </c>
      <c r="E852" s="99" t="s">
        <v>1546</v>
      </c>
    </row>
    <row r="853" outlineLevel="1">
      <c r="A853" s="113"/>
      <c r="B853" s="114" t="s">
        <v>985</v>
      </c>
      <c r="C853" s="14" t="s">
        <v>447</v>
      </c>
      <c r="D853" s="120" t="s">
        <v>708</v>
      </c>
      <c r="E853" s="99" t="s">
        <v>1547</v>
      </c>
    </row>
    <row r="854" outlineLevel="1">
      <c r="A854" s="113"/>
      <c r="B854" s="114" t="s">
        <v>1548</v>
      </c>
      <c r="C854" s="14" t="s">
        <v>120</v>
      </c>
      <c r="D854" s="121" t="s">
        <v>71</v>
      </c>
      <c r="E854" s="99" t="s">
        <v>1549</v>
      </c>
    </row>
    <row r="855" outlineLevel="1">
      <c r="A855" s="113"/>
      <c r="B855" s="114" t="s">
        <v>243</v>
      </c>
      <c r="C855" s="14" t="s">
        <v>423</v>
      </c>
      <c r="D855" s="122" t="s">
        <v>136</v>
      </c>
      <c r="E855" s="99" t="s">
        <v>1550</v>
      </c>
    </row>
    <row r="856" outlineLevel="1">
      <c r="A856" s="113"/>
      <c r="B856" s="114" t="s">
        <v>1551</v>
      </c>
      <c r="C856" s="14" t="s">
        <v>423</v>
      </c>
      <c r="D856" s="122" t="s">
        <v>136</v>
      </c>
      <c r="E856" s="99" t="s">
        <v>1552</v>
      </c>
    </row>
    <row r="857" outlineLevel="1">
      <c r="A857" s="113"/>
      <c r="B857" s="114" t="s">
        <v>1033</v>
      </c>
      <c r="C857" s="98" t="s">
        <v>12</v>
      </c>
      <c r="D857" s="119" t="s">
        <v>447</v>
      </c>
      <c r="E857" s="99" t="s">
        <v>1553</v>
      </c>
    </row>
    <row r="858" outlineLevel="1">
      <c r="A858" s="113"/>
      <c r="B858" s="114" t="s">
        <v>923</v>
      </c>
      <c r="C858" s="14" t="s">
        <v>136</v>
      </c>
      <c r="D858" s="123" t="s">
        <v>167</v>
      </c>
      <c r="E858" s="99" t="s">
        <v>1554</v>
      </c>
    </row>
    <row r="859" outlineLevel="1">
      <c r="A859" s="113"/>
      <c r="B859" s="114" t="s">
        <v>993</v>
      </c>
      <c r="C859" s="14" t="s">
        <v>92</v>
      </c>
      <c r="D859" s="118" t="s">
        <v>120</v>
      </c>
      <c r="E859" s="99" t="s">
        <v>1555</v>
      </c>
    </row>
    <row r="860" outlineLevel="1">
      <c r="A860" s="113"/>
      <c r="B860" s="114" t="s">
        <v>1556</v>
      </c>
      <c r="C860" s="14" t="s">
        <v>423</v>
      </c>
      <c r="D860" s="124" t="s">
        <v>911</v>
      </c>
      <c r="E860" s="99" t="s">
        <v>1557</v>
      </c>
    </row>
    <row r="861" outlineLevel="1">
      <c r="A861" s="113"/>
      <c r="B861" s="114" t="s">
        <v>1558</v>
      </c>
      <c r="C861" s="98" t="s">
        <v>12</v>
      </c>
      <c r="D861" s="124" t="s">
        <v>911</v>
      </c>
      <c r="E861" s="99" t="s">
        <v>1559</v>
      </c>
    </row>
    <row r="862" outlineLevel="1">
      <c r="A862" s="113"/>
      <c r="B862" s="114" t="s">
        <v>1001</v>
      </c>
      <c r="C862" s="98" t="s">
        <v>12</v>
      </c>
      <c r="D862" s="120" t="s">
        <v>708</v>
      </c>
      <c r="E862" s="99" t="s">
        <v>1560</v>
      </c>
    </row>
    <row r="863" outlineLevel="1">
      <c r="A863" s="113"/>
      <c r="B863" s="114" t="s">
        <v>172</v>
      </c>
      <c r="C863" s="14" t="s">
        <v>92</v>
      </c>
      <c r="D863" s="121" t="s">
        <v>71</v>
      </c>
      <c r="E863" s="99" t="s">
        <v>1561</v>
      </c>
    </row>
    <row r="864" outlineLevel="1">
      <c r="A864" s="113"/>
      <c r="B864" s="114" t="s">
        <v>85</v>
      </c>
      <c r="C864" s="14" t="s">
        <v>92</v>
      </c>
      <c r="D864" s="118" t="s">
        <v>120</v>
      </c>
      <c r="E864" s="99" t="s">
        <v>1562</v>
      </c>
    </row>
    <row r="865" outlineLevel="1">
      <c r="A865" s="113"/>
      <c r="B865" s="114" t="s">
        <v>269</v>
      </c>
      <c r="C865" s="14" t="s">
        <v>71</v>
      </c>
      <c r="D865" s="125" t="s">
        <v>92</v>
      </c>
      <c r="E865" s="99" t="s">
        <v>1563</v>
      </c>
    </row>
    <row r="866" outlineLevel="1">
      <c r="A866" s="113"/>
      <c r="B866" s="114" t="s">
        <v>900</v>
      </c>
      <c r="C866" s="14" t="s">
        <v>136</v>
      </c>
      <c r="D866" s="118" t="s">
        <v>120</v>
      </c>
      <c r="E866" s="99" t="s">
        <v>1564</v>
      </c>
    </row>
    <row r="867" outlineLevel="1">
      <c r="A867" s="113"/>
      <c r="B867" s="114" t="s">
        <v>927</v>
      </c>
      <c r="C867" s="14" t="s">
        <v>136</v>
      </c>
      <c r="D867" s="118" t="s">
        <v>120</v>
      </c>
      <c r="E867" s="99" t="s">
        <v>1565</v>
      </c>
    </row>
    <row r="868" outlineLevel="1">
      <c r="A868" s="113"/>
      <c r="B868" s="114" t="s">
        <v>693</v>
      </c>
      <c r="C868" s="14" t="s">
        <v>120</v>
      </c>
      <c r="D868" s="121" t="s">
        <v>71</v>
      </c>
      <c r="E868" s="99" t="s">
        <v>1566</v>
      </c>
    </row>
    <row r="869" outlineLevel="1">
      <c r="A869" s="113"/>
      <c r="B869" s="114" t="s">
        <v>1052</v>
      </c>
      <c r="C869" s="14" t="s">
        <v>136</v>
      </c>
      <c r="D869" s="125" t="s">
        <v>92</v>
      </c>
      <c r="E869" s="99" t="s">
        <v>1566</v>
      </c>
    </row>
    <row r="870" outlineLevel="1">
      <c r="A870" s="113"/>
      <c r="B870" s="114" t="s">
        <v>349</v>
      </c>
      <c r="C870" s="14" t="s">
        <v>136</v>
      </c>
      <c r="D870" s="119" t="s">
        <v>447</v>
      </c>
      <c r="E870" s="99" t="s">
        <v>1567</v>
      </c>
    </row>
    <row r="871" outlineLevel="1">
      <c r="A871" s="113"/>
      <c r="B871" s="114" t="s">
        <v>158</v>
      </c>
      <c r="C871" s="14" t="s">
        <v>120</v>
      </c>
      <c r="D871" s="122" t="s">
        <v>136</v>
      </c>
      <c r="E871" s="99" t="s">
        <v>1568</v>
      </c>
    </row>
    <row r="872" outlineLevel="1">
      <c r="A872" s="113"/>
      <c r="B872" s="114" t="s">
        <v>125</v>
      </c>
      <c r="C872" s="14" t="s">
        <v>92</v>
      </c>
      <c r="D872" s="118" t="s">
        <v>120</v>
      </c>
      <c r="E872" s="99" t="s">
        <v>1569</v>
      </c>
    </row>
    <row r="873" outlineLevel="1">
      <c r="A873" s="113"/>
      <c r="B873" s="114" t="s">
        <v>196</v>
      </c>
      <c r="C873" s="14" t="s">
        <v>120</v>
      </c>
      <c r="D873" s="122" t="s">
        <v>136</v>
      </c>
      <c r="E873" s="99" t="s">
        <v>1569</v>
      </c>
    </row>
    <row r="874" outlineLevel="1">
      <c r="A874" s="113"/>
      <c r="B874" s="114" t="s">
        <v>1570</v>
      </c>
      <c r="C874" s="98" t="s">
        <v>12</v>
      </c>
      <c r="D874" s="122" t="s">
        <v>136</v>
      </c>
      <c r="E874" s="99" t="s">
        <v>1571</v>
      </c>
    </row>
    <row r="875" outlineLevel="1">
      <c r="A875" s="113"/>
      <c r="B875" s="114" t="s">
        <v>1012</v>
      </c>
      <c r="C875" s="14" t="s">
        <v>136</v>
      </c>
      <c r="D875" s="119" t="s">
        <v>447</v>
      </c>
      <c r="E875" s="99" t="s">
        <v>1572</v>
      </c>
    </row>
    <row r="876" outlineLevel="1">
      <c r="A876" s="113"/>
      <c r="B876" s="114" t="s">
        <v>934</v>
      </c>
      <c r="C876" s="14" t="s">
        <v>92</v>
      </c>
      <c r="D876" s="121" t="s">
        <v>71</v>
      </c>
      <c r="E876" s="99" t="s">
        <v>1573</v>
      </c>
    </row>
    <row r="877" outlineLevel="1">
      <c r="A877" s="113"/>
      <c r="B877" s="114" t="s">
        <v>1010</v>
      </c>
      <c r="C877" s="98" t="s">
        <v>12</v>
      </c>
      <c r="D877" s="122" t="s">
        <v>136</v>
      </c>
      <c r="E877" s="99" t="s">
        <v>1574</v>
      </c>
    </row>
    <row r="878" outlineLevel="1">
      <c r="A878" s="113"/>
      <c r="B878" s="114" t="s">
        <v>995</v>
      </c>
      <c r="C878" s="14" t="s">
        <v>136</v>
      </c>
      <c r="D878" s="120" t="s">
        <v>708</v>
      </c>
      <c r="E878" s="99" t="s">
        <v>1575</v>
      </c>
    </row>
    <row r="879" outlineLevel="1">
      <c r="A879" s="113"/>
      <c r="B879" s="114" t="s">
        <v>1035</v>
      </c>
      <c r="C879" s="14" t="s">
        <v>120</v>
      </c>
      <c r="D879" s="122" t="s">
        <v>136</v>
      </c>
      <c r="E879" s="99" t="s">
        <v>1575</v>
      </c>
    </row>
    <row r="880" outlineLevel="1">
      <c r="A880" s="113"/>
      <c r="B880" s="114" t="s">
        <v>1039</v>
      </c>
      <c r="C880" s="14" t="s">
        <v>120</v>
      </c>
      <c r="D880" s="117" t="s">
        <v>423</v>
      </c>
      <c r="E880" s="99" t="s">
        <v>1575</v>
      </c>
    </row>
    <row r="881" outlineLevel="1">
      <c r="A881" s="113"/>
      <c r="B881" s="114" t="s">
        <v>1576</v>
      </c>
      <c r="C881" s="14" t="s">
        <v>136</v>
      </c>
      <c r="D881" s="119" t="s">
        <v>447</v>
      </c>
      <c r="E881" s="99" t="s">
        <v>1575</v>
      </c>
    </row>
    <row r="882" outlineLevel="1">
      <c r="A882" s="113"/>
      <c r="B882" s="114" t="s">
        <v>74</v>
      </c>
      <c r="C882" s="14" t="s">
        <v>136</v>
      </c>
      <c r="D882" s="119" t="s">
        <v>447</v>
      </c>
      <c r="E882" s="99" t="s">
        <v>1577</v>
      </c>
    </row>
    <row r="883" outlineLevel="1">
      <c r="A883" s="113"/>
      <c r="B883" s="114" t="s">
        <v>932</v>
      </c>
      <c r="C883" s="14" t="s">
        <v>92</v>
      </c>
      <c r="D883" s="121" t="s">
        <v>71</v>
      </c>
      <c r="E883" s="99" t="s">
        <v>1578</v>
      </c>
    </row>
    <row r="884" outlineLevel="1">
      <c r="A884" s="113"/>
      <c r="B884" s="114" t="s">
        <v>945</v>
      </c>
      <c r="C884" s="14" t="s">
        <v>167</v>
      </c>
      <c r="D884" s="117" t="s">
        <v>423</v>
      </c>
      <c r="E884" s="99" t="s">
        <v>1579</v>
      </c>
    </row>
    <row r="885" outlineLevel="1">
      <c r="A885" s="113"/>
      <c r="B885" s="114" t="s">
        <v>1580</v>
      </c>
      <c r="C885" s="14" t="s">
        <v>167</v>
      </c>
      <c r="D885" s="117" t="s">
        <v>423</v>
      </c>
      <c r="E885" s="99" t="s">
        <v>1581</v>
      </c>
    </row>
    <row r="886" outlineLevel="1">
      <c r="A886" s="113"/>
      <c r="B886" s="114" t="s">
        <v>957</v>
      </c>
      <c r="C886" s="14" t="s">
        <v>423</v>
      </c>
      <c r="D886" s="119" t="s">
        <v>447</v>
      </c>
      <c r="E886" s="99" t="s">
        <v>1582</v>
      </c>
    </row>
    <row r="887" outlineLevel="1">
      <c r="A887" s="113"/>
      <c r="B887" s="114" t="s">
        <v>967</v>
      </c>
      <c r="C887" s="14" t="s">
        <v>120</v>
      </c>
      <c r="D887" s="125" t="s">
        <v>92</v>
      </c>
      <c r="E887" s="99" t="s">
        <v>1583</v>
      </c>
    </row>
    <row r="888" outlineLevel="1">
      <c r="A888" s="113"/>
      <c r="B888" s="114" t="s">
        <v>1584</v>
      </c>
      <c r="C888" s="14" t="s">
        <v>136</v>
      </c>
      <c r="D888" s="125" t="s">
        <v>92</v>
      </c>
      <c r="E888" s="99" t="s">
        <v>1585</v>
      </c>
    </row>
    <row r="889" outlineLevel="1">
      <c r="A889" s="113"/>
      <c r="B889" s="114" t="s">
        <v>952</v>
      </c>
      <c r="C889" s="14" t="s">
        <v>120</v>
      </c>
      <c r="D889" s="125" t="s">
        <v>92</v>
      </c>
      <c r="E889" s="99" t="s">
        <v>1586</v>
      </c>
    </row>
    <row r="890" outlineLevel="1">
      <c r="A890" s="113"/>
      <c r="B890" s="114" t="s">
        <v>1587</v>
      </c>
      <c r="C890" s="14" t="s">
        <v>136</v>
      </c>
      <c r="D890" s="123" t="s">
        <v>167</v>
      </c>
      <c r="E890" s="99" t="s">
        <v>1588</v>
      </c>
    </row>
    <row r="891" outlineLevel="1">
      <c r="A891" s="113"/>
      <c r="B891" s="114" t="s">
        <v>190</v>
      </c>
      <c r="C891" s="14" t="s">
        <v>120</v>
      </c>
      <c r="D891" s="122" t="s">
        <v>136</v>
      </c>
      <c r="E891" s="99" t="s">
        <v>1589</v>
      </c>
    </row>
    <row r="892" outlineLevel="1">
      <c r="A892" s="113"/>
      <c r="B892" s="114" t="s">
        <v>941</v>
      </c>
      <c r="C892" s="14" t="s">
        <v>167</v>
      </c>
      <c r="D892" s="117" t="s">
        <v>423</v>
      </c>
      <c r="E892" s="99" t="s">
        <v>1590</v>
      </c>
    </row>
    <row r="893" outlineLevel="1">
      <c r="A893" s="113"/>
      <c r="B893" s="114" t="s">
        <v>1045</v>
      </c>
      <c r="C893" s="98" t="s">
        <v>12</v>
      </c>
      <c r="D893" s="120" t="s">
        <v>708</v>
      </c>
      <c r="E893" s="99" t="s">
        <v>1591</v>
      </c>
    </row>
    <row r="894" outlineLevel="1">
      <c r="A894" s="113"/>
      <c r="B894" s="114" t="s">
        <v>1592</v>
      </c>
      <c r="C894" s="14" t="s">
        <v>447</v>
      </c>
      <c r="D894" s="120" t="s">
        <v>708</v>
      </c>
      <c r="E894" s="99" t="s">
        <v>1593</v>
      </c>
    </row>
    <row r="895" outlineLevel="1">
      <c r="A895" s="113"/>
      <c r="B895" s="114" t="s">
        <v>921</v>
      </c>
      <c r="C895" s="14" t="s">
        <v>423</v>
      </c>
      <c r="D895" s="120" t="s">
        <v>708</v>
      </c>
      <c r="E895" s="99" t="s">
        <v>1288</v>
      </c>
    </row>
    <row r="896" outlineLevel="1">
      <c r="A896" s="113"/>
      <c r="B896" s="114" t="s">
        <v>1594</v>
      </c>
      <c r="C896" s="14" t="s">
        <v>447</v>
      </c>
      <c r="D896" s="124" t="s">
        <v>911</v>
      </c>
      <c r="E896" s="99" t="s">
        <v>1288</v>
      </c>
    </row>
    <row r="897" outlineLevel="1">
      <c r="A897" s="113"/>
      <c r="B897" s="114" t="s">
        <v>1595</v>
      </c>
      <c r="C897" s="14" t="s">
        <v>447</v>
      </c>
      <c r="D897" s="120" t="s">
        <v>708</v>
      </c>
      <c r="E897" s="99" t="s">
        <v>1288</v>
      </c>
    </row>
    <row r="898" outlineLevel="1">
      <c r="A898" s="113"/>
      <c r="B898" s="114" t="s">
        <v>1596</v>
      </c>
      <c r="C898" s="14" t="s">
        <v>447</v>
      </c>
      <c r="D898" s="124" t="s">
        <v>911</v>
      </c>
      <c r="E898" s="99" t="s">
        <v>1288</v>
      </c>
    </row>
    <row r="899" outlineLevel="1">
      <c r="A899" s="113"/>
      <c r="B899" s="114" t="s">
        <v>930</v>
      </c>
      <c r="C899" s="14" t="s">
        <v>447</v>
      </c>
      <c r="D899" s="120" t="s">
        <v>708</v>
      </c>
      <c r="E899" s="99" t="s">
        <v>1288</v>
      </c>
    </row>
    <row r="900" outlineLevel="1">
      <c r="A900" s="113"/>
      <c r="B900" s="114" t="s">
        <v>1597</v>
      </c>
      <c r="C900" s="14" t="s">
        <v>423</v>
      </c>
      <c r="D900" s="120" t="s">
        <v>708</v>
      </c>
      <c r="E900" s="99" t="s">
        <v>1288</v>
      </c>
    </row>
    <row r="901" outlineLevel="1">
      <c r="A901" s="113"/>
      <c r="B901" s="114" t="s">
        <v>1598</v>
      </c>
      <c r="C901" s="14" t="s">
        <v>423</v>
      </c>
      <c r="D901" s="120" t="s">
        <v>708</v>
      </c>
      <c r="E901" s="99" t="s">
        <v>1288</v>
      </c>
    </row>
    <row r="902" outlineLevel="1">
      <c r="A902" s="113"/>
      <c r="B902" s="114" t="s">
        <v>329</v>
      </c>
      <c r="C902" s="14" t="s">
        <v>423</v>
      </c>
      <c r="D902" s="120" t="s">
        <v>708</v>
      </c>
      <c r="E902" s="99" t="s">
        <v>1288</v>
      </c>
    </row>
    <row r="903" outlineLevel="1">
      <c r="A903" s="113"/>
      <c r="B903" s="114" t="s">
        <v>365</v>
      </c>
      <c r="C903" s="14" t="s">
        <v>423</v>
      </c>
      <c r="D903" s="120" t="s">
        <v>708</v>
      </c>
      <c r="E903" s="99" t="s">
        <v>1288</v>
      </c>
    </row>
    <row r="904" outlineLevel="1">
      <c r="A904" s="113"/>
      <c r="B904" s="114" t="s">
        <v>1599</v>
      </c>
      <c r="C904" s="14" t="s">
        <v>167</v>
      </c>
      <c r="D904" s="119" t="s">
        <v>447</v>
      </c>
      <c r="E904" s="99" t="s">
        <v>1288</v>
      </c>
    </row>
    <row r="905" outlineLevel="1">
      <c r="A905" s="113"/>
      <c r="B905" s="114" t="s">
        <v>1600</v>
      </c>
      <c r="C905" s="14" t="s">
        <v>423</v>
      </c>
      <c r="D905" s="120" t="s">
        <v>708</v>
      </c>
      <c r="E905" s="99" t="s">
        <v>1288</v>
      </c>
    </row>
    <row r="906" outlineLevel="1">
      <c r="A906" s="113"/>
      <c r="B906" s="114" t="s">
        <v>1601</v>
      </c>
      <c r="C906" s="14" t="s">
        <v>447</v>
      </c>
      <c r="D906" s="124" t="s">
        <v>911</v>
      </c>
      <c r="E906" s="99" t="s">
        <v>1288</v>
      </c>
    </row>
    <row r="907" outlineLevel="1">
      <c r="A907" s="113"/>
      <c r="B907" s="114" t="s">
        <v>1602</v>
      </c>
      <c r="C907" s="14" t="s">
        <v>167</v>
      </c>
      <c r="D907" s="120" t="s">
        <v>708</v>
      </c>
      <c r="E907" s="99" t="s">
        <v>1288</v>
      </c>
    </row>
    <row r="908" outlineLevel="1">
      <c r="A908" s="113"/>
      <c r="B908" s="114" t="s">
        <v>959</v>
      </c>
      <c r="C908" s="14" t="s">
        <v>167</v>
      </c>
      <c r="D908" s="120" t="s">
        <v>708</v>
      </c>
      <c r="E908" s="99" t="s">
        <v>1288</v>
      </c>
    </row>
    <row r="909" outlineLevel="1">
      <c r="A909" s="113"/>
      <c r="B909" s="114" t="s">
        <v>1603</v>
      </c>
      <c r="C909" s="14" t="s">
        <v>447</v>
      </c>
      <c r="D909" s="124" t="s">
        <v>911</v>
      </c>
      <c r="E909" s="99" t="s">
        <v>1288</v>
      </c>
    </row>
    <row r="910" outlineLevel="1">
      <c r="A910" s="113"/>
      <c r="B910" s="114" t="s">
        <v>960</v>
      </c>
      <c r="C910" s="14" t="s">
        <v>167</v>
      </c>
      <c r="D910" s="120" t="s">
        <v>708</v>
      </c>
      <c r="E910" s="99" t="s">
        <v>1288</v>
      </c>
    </row>
    <row r="911" outlineLevel="1">
      <c r="A911" s="113"/>
      <c r="B911" s="114" t="s">
        <v>112</v>
      </c>
      <c r="C911" s="14" t="s">
        <v>136</v>
      </c>
      <c r="D911" s="117" t="s">
        <v>423</v>
      </c>
      <c r="E911" s="99" t="s">
        <v>1288</v>
      </c>
    </row>
    <row r="912" outlineLevel="1">
      <c r="A912" s="113"/>
      <c r="B912" s="114" t="s">
        <v>1604</v>
      </c>
      <c r="C912" s="14" t="s">
        <v>447</v>
      </c>
      <c r="D912" s="124" t="s">
        <v>911</v>
      </c>
      <c r="E912" s="99" t="s">
        <v>1288</v>
      </c>
    </row>
    <row r="913" outlineLevel="1">
      <c r="A913" s="113"/>
      <c r="B913" s="114" t="s">
        <v>1605</v>
      </c>
      <c r="C913" s="14" t="s">
        <v>447</v>
      </c>
      <c r="D913" s="124" t="s">
        <v>911</v>
      </c>
      <c r="E913" s="99" t="s">
        <v>1288</v>
      </c>
    </row>
    <row r="914" outlineLevel="1">
      <c r="A914" s="113"/>
      <c r="B914" s="114" t="s">
        <v>902</v>
      </c>
      <c r="C914" s="14" t="s">
        <v>167</v>
      </c>
      <c r="D914" s="120" t="s">
        <v>708</v>
      </c>
      <c r="E914" s="99" t="s">
        <v>1288</v>
      </c>
    </row>
    <row r="915" outlineLevel="1">
      <c r="A915" s="113"/>
      <c r="B915" s="114" t="s">
        <v>1606</v>
      </c>
      <c r="C915" s="14" t="s">
        <v>447</v>
      </c>
      <c r="D915" s="124" t="s">
        <v>911</v>
      </c>
      <c r="E915" s="99" t="s">
        <v>1288</v>
      </c>
    </row>
    <row r="916" outlineLevel="1">
      <c r="A916" s="113"/>
      <c r="B916" s="114" t="s">
        <v>975</v>
      </c>
      <c r="C916" s="14" t="s">
        <v>136</v>
      </c>
      <c r="D916" s="119" t="s">
        <v>447</v>
      </c>
      <c r="E916" s="99" t="s">
        <v>1288</v>
      </c>
    </row>
    <row r="917" outlineLevel="1">
      <c r="A917" s="113"/>
      <c r="B917" s="114" t="s">
        <v>977</v>
      </c>
      <c r="C917" s="14" t="s">
        <v>167</v>
      </c>
      <c r="D917" s="120" t="s">
        <v>708</v>
      </c>
      <c r="E917" s="99" t="s">
        <v>1288</v>
      </c>
    </row>
    <row r="918" outlineLevel="1">
      <c r="A918" s="113"/>
      <c r="B918" s="114" t="s">
        <v>979</v>
      </c>
      <c r="C918" s="14" t="s">
        <v>423</v>
      </c>
      <c r="D918" s="120" t="s">
        <v>708</v>
      </c>
      <c r="E918" s="99" t="s">
        <v>1288</v>
      </c>
    </row>
    <row r="919" outlineLevel="1">
      <c r="A919" s="113"/>
      <c r="B919" s="114" t="s">
        <v>983</v>
      </c>
      <c r="C919" s="14" t="s">
        <v>167</v>
      </c>
      <c r="D919" s="119" t="s">
        <v>447</v>
      </c>
      <c r="E919" s="99" t="s">
        <v>1288</v>
      </c>
    </row>
    <row r="920" outlineLevel="1">
      <c r="A920" s="113"/>
      <c r="B920" s="114" t="s">
        <v>1607</v>
      </c>
      <c r="C920" s="14" t="s">
        <v>447</v>
      </c>
      <c r="D920" s="124" t="s">
        <v>911</v>
      </c>
      <c r="E920" s="99" t="s">
        <v>1288</v>
      </c>
    </row>
    <row r="921" outlineLevel="1">
      <c r="A921" s="113"/>
      <c r="B921" s="114" t="s">
        <v>311</v>
      </c>
      <c r="C921" s="14" t="s">
        <v>167</v>
      </c>
      <c r="D921" s="120" t="s">
        <v>708</v>
      </c>
      <c r="E921" s="99" t="s">
        <v>1288</v>
      </c>
    </row>
    <row r="922" outlineLevel="1">
      <c r="A922" s="113"/>
      <c r="B922" s="114" t="s">
        <v>1608</v>
      </c>
      <c r="C922" s="14" t="s">
        <v>447</v>
      </c>
      <c r="D922" s="124" t="s">
        <v>911</v>
      </c>
      <c r="E922" s="99" t="s">
        <v>1288</v>
      </c>
    </row>
    <row r="923" outlineLevel="1">
      <c r="A923" s="113"/>
      <c r="B923" s="114" t="s">
        <v>1609</v>
      </c>
      <c r="C923" s="14" t="s">
        <v>167</v>
      </c>
      <c r="D923" s="119" t="s">
        <v>447</v>
      </c>
      <c r="E923" s="99" t="s">
        <v>1288</v>
      </c>
    </row>
    <row r="924" outlineLevel="1">
      <c r="A924" s="113"/>
      <c r="B924" s="114" t="s">
        <v>1610</v>
      </c>
      <c r="C924" s="14" t="s">
        <v>447</v>
      </c>
      <c r="D924" s="124" t="s">
        <v>911</v>
      </c>
      <c r="E924" s="99" t="s">
        <v>1288</v>
      </c>
    </row>
    <row r="925" outlineLevel="1">
      <c r="A925" s="113"/>
      <c r="B925" s="114" t="s">
        <v>1611</v>
      </c>
      <c r="C925" s="14" t="s">
        <v>447</v>
      </c>
      <c r="D925" s="124" t="s">
        <v>911</v>
      </c>
      <c r="E925" s="99" t="s">
        <v>1288</v>
      </c>
    </row>
    <row r="926" outlineLevel="1">
      <c r="A926" s="113"/>
      <c r="B926" s="114" t="s">
        <v>1612</v>
      </c>
      <c r="C926" s="14" t="s">
        <v>447</v>
      </c>
      <c r="D926" s="124" t="s">
        <v>911</v>
      </c>
      <c r="E926" s="99" t="s">
        <v>1288</v>
      </c>
    </row>
    <row r="927" outlineLevel="1">
      <c r="A927" s="113"/>
      <c r="B927" s="114" t="s">
        <v>1613</v>
      </c>
      <c r="C927" s="14" t="s">
        <v>447</v>
      </c>
      <c r="D927" s="124" t="s">
        <v>911</v>
      </c>
      <c r="E927" s="99" t="s">
        <v>1288</v>
      </c>
    </row>
    <row r="928" outlineLevel="1">
      <c r="A928" s="113"/>
      <c r="B928" s="114" t="s">
        <v>1614</v>
      </c>
      <c r="C928" s="14" t="s">
        <v>167</v>
      </c>
      <c r="D928" s="120" t="s">
        <v>708</v>
      </c>
      <c r="E928" s="99" t="s">
        <v>1288</v>
      </c>
    </row>
    <row r="929" outlineLevel="1">
      <c r="A929" s="113"/>
      <c r="B929" s="114" t="s">
        <v>1615</v>
      </c>
      <c r="C929" s="14" t="s">
        <v>447</v>
      </c>
      <c r="D929" s="124" t="s">
        <v>911</v>
      </c>
      <c r="E929" s="99" t="s">
        <v>1288</v>
      </c>
    </row>
    <row r="930" outlineLevel="1">
      <c r="A930" s="113"/>
      <c r="B930" s="114" t="s">
        <v>1616</v>
      </c>
      <c r="C930" s="14" t="s">
        <v>447</v>
      </c>
      <c r="D930" s="124" t="s">
        <v>911</v>
      </c>
      <c r="E930" s="99" t="s">
        <v>1288</v>
      </c>
    </row>
    <row r="931" outlineLevel="1">
      <c r="A931" s="113"/>
      <c r="B931" s="114" t="s">
        <v>1617</v>
      </c>
      <c r="C931" s="14" t="s">
        <v>447</v>
      </c>
      <c r="D931" s="124" t="s">
        <v>911</v>
      </c>
      <c r="E931" s="99" t="s">
        <v>1288</v>
      </c>
    </row>
    <row r="932" outlineLevel="1">
      <c r="A932" s="113"/>
      <c r="B932" s="114" t="s">
        <v>1618</v>
      </c>
      <c r="C932" s="14" t="s">
        <v>447</v>
      </c>
      <c r="D932" s="124" t="s">
        <v>911</v>
      </c>
      <c r="E932" s="99" t="s">
        <v>1288</v>
      </c>
    </row>
    <row r="933" outlineLevel="1">
      <c r="A933" s="113"/>
      <c r="B933" s="114" t="s">
        <v>1619</v>
      </c>
      <c r="C933" s="14" t="s">
        <v>167</v>
      </c>
      <c r="D933" s="120" t="s">
        <v>708</v>
      </c>
      <c r="E933" s="99" t="s">
        <v>1288</v>
      </c>
    </row>
    <row r="934" outlineLevel="1">
      <c r="A934" s="113"/>
      <c r="B934" s="114" t="s">
        <v>1620</v>
      </c>
      <c r="C934" s="14" t="s">
        <v>447</v>
      </c>
      <c r="D934" s="124" t="s">
        <v>911</v>
      </c>
      <c r="E934" s="99" t="s">
        <v>1288</v>
      </c>
    </row>
    <row r="935" outlineLevel="1">
      <c r="A935" s="113"/>
      <c r="B935" s="114" t="s">
        <v>1621</v>
      </c>
      <c r="C935" s="14" t="s">
        <v>167</v>
      </c>
      <c r="D935" s="120" t="s">
        <v>708</v>
      </c>
      <c r="E935" s="99" t="s">
        <v>1288</v>
      </c>
    </row>
    <row r="936" outlineLevel="1">
      <c r="A936" s="113"/>
      <c r="B936" s="114" t="s">
        <v>1622</v>
      </c>
      <c r="C936" s="14" t="s">
        <v>167</v>
      </c>
      <c r="D936" s="120" t="s">
        <v>708</v>
      </c>
      <c r="E936" s="99" t="s">
        <v>1288</v>
      </c>
    </row>
    <row r="937" outlineLevel="1">
      <c r="A937" s="113"/>
      <c r="B937" s="114" t="s">
        <v>118</v>
      </c>
      <c r="C937" s="14" t="s">
        <v>167</v>
      </c>
      <c r="D937" s="119" t="s">
        <v>447</v>
      </c>
      <c r="E937" s="99" t="s">
        <v>1288</v>
      </c>
    </row>
    <row r="938" outlineLevel="1">
      <c r="A938" s="113"/>
      <c r="B938" s="114" t="s">
        <v>1623</v>
      </c>
      <c r="C938" s="14" t="s">
        <v>447</v>
      </c>
      <c r="D938" s="124" t="s">
        <v>911</v>
      </c>
      <c r="E938" s="99" t="s">
        <v>1288</v>
      </c>
    </row>
    <row r="939" outlineLevel="1">
      <c r="A939" s="113"/>
      <c r="B939" s="114" t="s">
        <v>1624</v>
      </c>
      <c r="C939" s="14" t="s">
        <v>423</v>
      </c>
      <c r="D939" s="120" t="s">
        <v>708</v>
      </c>
      <c r="E939" s="99" t="s">
        <v>1288</v>
      </c>
    </row>
    <row r="940" outlineLevel="1">
      <c r="A940" s="113"/>
      <c r="B940" s="114" t="s">
        <v>1026</v>
      </c>
      <c r="C940" s="14" t="s">
        <v>423</v>
      </c>
      <c r="D940" s="120" t="s">
        <v>708</v>
      </c>
      <c r="E940" s="99" t="s">
        <v>1288</v>
      </c>
    </row>
    <row r="941" outlineLevel="1">
      <c r="A941" s="113"/>
      <c r="B941" s="114" t="s">
        <v>1027</v>
      </c>
      <c r="C941" s="14" t="s">
        <v>423</v>
      </c>
      <c r="D941" s="120" t="s">
        <v>708</v>
      </c>
      <c r="E941" s="99" t="s">
        <v>1288</v>
      </c>
    </row>
    <row r="942" outlineLevel="1">
      <c r="A942" s="113"/>
      <c r="B942" s="114" t="s">
        <v>1625</v>
      </c>
      <c r="C942" s="14" t="s">
        <v>167</v>
      </c>
      <c r="D942" s="119" t="s">
        <v>447</v>
      </c>
      <c r="E942" s="99" t="s">
        <v>1288</v>
      </c>
    </row>
    <row r="943" outlineLevel="1">
      <c r="A943" s="113"/>
      <c r="B943" s="114" t="s">
        <v>288</v>
      </c>
      <c r="C943" s="14" t="s">
        <v>167</v>
      </c>
      <c r="D943" s="120" t="s">
        <v>708</v>
      </c>
      <c r="E943" s="99" t="s">
        <v>1288</v>
      </c>
    </row>
    <row r="944" outlineLevel="1">
      <c r="A944" s="113"/>
      <c r="B944" s="114" t="s">
        <v>1032</v>
      </c>
      <c r="C944" s="14" t="s">
        <v>167</v>
      </c>
      <c r="D944" s="120" t="s">
        <v>708</v>
      </c>
      <c r="E944" s="99" t="s">
        <v>1288</v>
      </c>
    </row>
    <row r="945" outlineLevel="1">
      <c r="A945" s="113"/>
      <c r="B945" s="114" t="s">
        <v>1037</v>
      </c>
      <c r="C945" s="14" t="s">
        <v>167</v>
      </c>
      <c r="D945" s="120" t="s">
        <v>708</v>
      </c>
      <c r="E945" s="99" t="s">
        <v>1288</v>
      </c>
    </row>
    <row r="946" outlineLevel="1">
      <c r="A946" s="113"/>
      <c r="B946" s="114" t="s">
        <v>79</v>
      </c>
      <c r="C946" s="14" t="s">
        <v>167</v>
      </c>
      <c r="D946" s="120" t="s">
        <v>708</v>
      </c>
      <c r="E946" s="99" t="s">
        <v>1288</v>
      </c>
    </row>
    <row r="947" outlineLevel="1">
      <c r="A947" s="113"/>
      <c r="B947" s="114" t="s">
        <v>1626</v>
      </c>
      <c r="C947" s="14" t="s">
        <v>167</v>
      </c>
      <c r="D947" s="120" t="s">
        <v>708</v>
      </c>
      <c r="E947" s="99" t="s">
        <v>1288</v>
      </c>
    </row>
    <row r="948" outlineLevel="1">
      <c r="A948" s="113"/>
      <c r="B948" s="114" t="s">
        <v>1040</v>
      </c>
      <c r="C948" s="14" t="s">
        <v>136</v>
      </c>
      <c r="D948" s="117" t="s">
        <v>423</v>
      </c>
      <c r="E948" s="99" t="s">
        <v>1288</v>
      </c>
    </row>
    <row r="949" outlineLevel="1">
      <c r="A949" s="113"/>
      <c r="B949" s="114" t="s">
        <v>1043</v>
      </c>
      <c r="C949" s="14" t="s">
        <v>167</v>
      </c>
      <c r="D949" s="120" t="s">
        <v>708</v>
      </c>
      <c r="E949" s="99" t="s">
        <v>1288</v>
      </c>
    </row>
    <row r="950" outlineLevel="1">
      <c r="A950" s="113"/>
      <c r="B950" s="114" t="s">
        <v>1627</v>
      </c>
      <c r="C950" s="14" t="s">
        <v>167</v>
      </c>
      <c r="D950" s="120" t="s">
        <v>708</v>
      </c>
      <c r="E950" s="99" t="s">
        <v>1288</v>
      </c>
    </row>
    <row r="951" outlineLevel="1">
      <c r="A951" s="113"/>
      <c r="B951" s="114" t="s">
        <v>1046</v>
      </c>
      <c r="C951" s="14" t="s">
        <v>167</v>
      </c>
      <c r="D951" s="120" t="s">
        <v>708</v>
      </c>
      <c r="E951" s="99" t="s">
        <v>1288</v>
      </c>
    </row>
    <row r="952" outlineLevel="1">
      <c r="A952" s="113"/>
      <c r="B952" s="114" t="s">
        <v>1628</v>
      </c>
      <c r="C952" s="14" t="s">
        <v>447</v>
      </c>
      <c r="D952" s="124" t="s">
        <v>911</v>
      </c>
      <c r="E952" s="99" t="s">
        <v>1288</v>
      </c>
    </row>
    <row r="953" outlineLevel="1">
      <c r="A953" s="113"/>
      <c r="B953" s="114" t="s">
        <v>1629</v>
      </c>
      <c r="C953" s="14" t="s">
        <v>423</v>
      </c>
      <c r="D953" s="120" t="s">
        <v>708</v>
      </c>
      <c r="E953" s="99" t="s">
        <v>1288</v>
      </c>
    </row>
    <row r="954" outlineLevel="1">
      <c r="A954" s="113"/>
      <c r="B954" s="114" t="s">
        <v>1630</v>
      </c>
      <c r="C954" s="14" t="s">
        <v>447</v>
      </c>
      <c r="D954" s="124" t="s">
        <v>911</v>
      </c>
      <c r="E954" s="99" t="s">
        <v>1288</v>
      </c>
    </row>
    <row r="955" outlineLevel="1">
      <c r="A955" s="113"/>
      <c r="B955" s="114" t="s">
        <v>1047</v>
      </c>
      <c r="C955" s="14" t="s">
        <v>423</v>
      </c>
      <c r="D955" s="120" t="s">
        <v>708</v>
      </c>
      <c r="E955" s="99" t="s">
        <v>1288</v>
      </c>
    </row>
    <row r="956" outlineLevel="1">
      <c r="A956" s="113"/>
      <c r="B956" s="114" t="s">
        <v>1049</v>
      </c>
      <c r="C956" s="14" t="s">
        <v>167</v>
      </c>
      <c r="D956" s="119" t="s">
        <v>447</v>
      </c>
      <c r="E956" s="99" t="s">
        <v>1288</v>
      </c>
    </row>
    <row r="957" outlineLevel="1">
      <c r="A957" s="113"/>
      <c r="B957" s="114" t="s">
        <v>1631</v>
      </c>
      <c r="C957" s="14" t="s">
        <v>423</v>
      </c>
      <c r="D957" s="120" t="s">
        <v>708</v>
      </c>
      <c r="E957" s="99" t="s">
        <v>1288</v>
      </c>
    </row>
    <row r="958" outlineLevel="1">
      <c r="A958" s="113"/>
      <c r="B958" s="114" t="s">
        <v>1051</v>
      </c>
      <c r="C958" s="14" t="s">
        <v>447</v>
      </c>
      <c r="D958" s="120" t="s">
        <v>708</v>
      </c>
      <c r="E958" s="99" t="s">
        <v>1288</v>
      </c>
    </row>
    <row r="959" outlineLevel="1">
      <c r="A959" s="113"/>
      <c r="B959" s="114" t="s">
        <v>1632</v>
      </c>
      <c r="C959" s="14" t="s">
        <v>447</v>
      </c>
      <c r="D959" s="124" t="s">
        <v>911</v>
      </c>
      <c r="E959" s="99" t="s">
        <v>1288</v>
      </c>
    </row>
    <row r="960" outlineLevel="1">
      <c r="A960" s="113"/>
      <c r="B960" s="114" t="s">
        <v>904</v>
      </c>
      <c r="C960" s="14" t="s">
        <v>136</v>
      </c>
      <c r="D960" s="117" t="s">
        <v>423</v>
      </c>
      <c r="E960" s="99" t="s">
        <v>1288</v>
      </c>
    </row>
    <row r="961" outlineLevel="1">
      <c r="A961" s="113"/>
      <c r="B961" s="114" t="s">
        <v>332</v>
      </c>
      <c r="C961" s="14" t="s">
        <v>136</v>
      </c>
      <c r="D961" s="123" t="s">
        <v>167</v>
      </c>
      <c r="E961" s="99" t="s">
        <v>1288</v>
      </c>
    </row>
    <row r="962" outlineLevel="1">
      <c r="A962" s="113"/>
      <c r="B962" s="114" t="s">
        <v>1633</v>
      </c>
      <c r="C962" s="14" t="s">
        <v>167</v>
      </c>
      <c r="D962" s="120" t="s">
        <v>708</v>
      </c>
      <c r="E962" s="99" t="s">
        <v>1288</v>
      </c>
    </row>
    <row r="963" outlineLevel="1">
      <c r="A963" s="113"/>
      <c r="B963" s="114" t="s">
        <v>1634</v>
      </c>
      <c r="C963" s="14" t="s">
        <v>167</v>
      </c>
      <c r="D963" s="120" t="s">
        <v>708</v>
      </c>
      <c r="E963" s="99" t="s">
        <v>1288</v>
      </c>
    </row>
    <row r="964" outlineLevel="1">
      <c r="A964" s="113"/>
      <c r="B964" s="114" t="s">
        <v>1635</v>
      </c>
      <c r="C964" s="14" t="s">
        <v>167</v>
      </c>
      <c r="D964" s="120" t="s">
        <v>708</v>
      </c>
      <c r="E964" s="99" t="s">
        <v>1288</v>
      </c>
    </row>
    <row r="965" outlineLevel="1">
      <c r="A965" s="113"/>
      <c r="B965" s="114" t="s">
        <v>1636</v>
      </c>
      <c r="C965" s="14" t="s">
        <v>136</v>
      </c>
      <c r="D965" s="117" t="s">
        <v>423</v>
      </c>
      <c r="E965" s="99" t="s">
        <v>1288</v>
      </c>
    </row>
    <row r="966" outlineLevel="1">
      <c r="A966" s="113"/>
      <c r="B966" s="114" t="s">
        <v>189</v>
      </c>
      <c r="C966" s="14" t="s">
        <v>136</v>
      </c>
      <c r="D966" s="123" t="s">
        <v>167</v>
      </c>
      <c r="E966" s="99" t="s">
        <v>1288</v>
      </c>
    </row>
    <row r="967" outlineLevel="1">
      <c r="A967" s="113"/>
      <c r="B967" s="114" t="s">
        <v>943</v>
      </c>
      <c r="C967" s="14" t="s">
        <v>136</v>
      </c>
      <c r="D967" s="117" t="s">
        <v>423</v>
      </c>
      <c r="E967" s="99" t="s">
        <v>1288</v>
      </c>
    </row>
    <row r="968" outlineLevel="1">
      <c r="A968" s="113"/>
      <c r="B968" s="114" t="s">
        <v>950</v>
      </c>
      <c r="C968" s="14" t="s">
        <v>167</v>
      </c>
      <c r="D968" s="119" t="s">
        <v>447</v>
      </c>
      <c r="E968" s="99" t="s">
        <v>1288</v>
      </c>
    </row>
    <row r="969" outlineLevel="1">
      <c r="A969" s="113"/>
      <c r="B969" s="114" t="s">
        <v>297</v>
      </c>
      <c r="C969" s="14" t="s">
        <v>136</v>
      </c>
      <c r="D969" s="117" t="s">
        <v>423</v>
      </c>
      <c r="E969" s="99" t="s">
        <v>1288</v>
      </c>
    </row>
    <row r="970" outlineLevel="1">
      <c r="A970" s="113"/>
      <c r="B970" s="114" t="s">
        <v>965</v>
      </c>
      <c r="C970" s="14" t="s">
        <v>120</v>
      </c>
      <c r="D970" s="122" t="s">
        <v>136</v>
      </c>
      <c r="E970" s="99" t="s">
        <v>1288</v>
      </c>
    </row>
    <row r="971" outlineLevel="1">
      <c r="A971" s="113"/>
      <c r="B971" s="114" t="s">
        <v>76</v>
      </c>
      <c r="C971" s="14" t="s">
        <v>136</v>
      </c>
      <c r="D971" s="123" t="s">
        <v>167</v>
      </c>
      <c r="E971" s="99" t="s">
        <v>1288</v>
      </c>
    </row>
    <row r="972" outlineLevel="1">
      <c r="A972" s="113"/>
      <c r="B972" s="114" t="s">
        <v>981</v>
      </c>
      <c r="C972" s="14" t="s">
        <v>167</v>
      </c>
      <c r="D972" s="117" t="s">
        <v>423</v>
      </c>
      <c r="E972" s="99" t="s">
        <v>1288</v>
      </c>
    </row>
    <row r="973" outlineLevel="1">
      <c r="A973" s="113"/>
      <c r="B973" s="114" t="s">
        <v>986</v>
      </c>
      <c r="C973" s="14" t="s">
        <v>136</v>
      </c>
      <c r="D973" s="123" t="s">
        <v>167</v>
      </c>
      <c r="E973" s="99" t="s">
        <v>1288</v>
      </c>
    </row>
    <row r="974" outlineLevel="1">
      <c r="A974" s="113"/>
      <c r="B974" s="114" t="s">
        <v>1637</v>
      </c>
      <c r="C974" s="14" t="s">
        <v>447</v>
      </c>
      <c r="D974" s="120" t="s">
        <v>708</v>
      </c>
      <c r="E974" s="99" t="s">
        <v>1288</v>
      </c>
    </row>
    <row r="975" outlineLevel="1">
      <c r="A975" s="113"/>
      <c r="B975" s="114" t="s">
        <v>994</v>
      </c>
      <c r="C975" s="14" t="s">
        <v>447</v>
      </c>
      <c r="D975" s="120" t="s">
        <v>708</v>
      </c>
      <c r="E975" s="99" t="s">
        <v>1288</v>
      </c>
    </row>
    <row r="976" outlineLevel="1">
      <c r="A976" s="113"/>
      <c r="B976" s="114" t="s">
        <v>999</v>
      </c>
      <c r="C976" s="14" t="s">
        <v>423</v>
      </c>
      <c r="D976" s="119" t="s">
        <v>447</v>
      </c>
      <c r="E976" s="99" t="s">
        <v>1288</v>
      </c>
    </row>
    <row r="977" outlineLevel="1">
      <c r="A977" s="113"/>
      <c r="B977" s="114" t="s">
        <v>1638</v>
      </c>
      <c r="C977" s="14" t="s">
        <v>167</v>
      </c>
      <c r="D977" s="117" t="s">
        <v>423</v>
      </c>
      <c r="E977" s="99" t="s">
        <v>1288</v>
      </c>
    </row>
    <row r="978" outlineLevel="1">
      <c r="A978" s="113"/>
      <c r="B978" s="114" t="s">
        <v>1639</v>
      </c>
      <c r="C978" s="14" t="s">
        <v>447</v>
      </c>
      <c r="D978" s="120" t="s">
        <v>708</v>
      </c>
      <c r="E978" s="99" t="s">
        <v>1288</v>
      </c>
    </row>
    <row r="979" outlineLevel="1">
      <c r="A979" s="113"/>
      <c r="B979" s="114" t="s">
        <v>1003</v>
      </c>
      <c r="C979" s="14" t="s">
        <v>167</v>
      </c>
      <c r="D979" s="117" t="s">
        <v>423</v>
      </c>
      <c r="E979" s="99" t="s">
        <v>1288</v>
      </c>
    </row>
    <row r="980" outlineLevel="1">
      <c r="A980" s="113"/>
      <c r="B980" s="114" t="s">
        <v>1007</v>
      </c>
      <c r="C980" s="14" t="s">
        <v>167</v>
      </c>
      <c r="D980" s="119" t="s">
        <v>447</v>
      </c>
      <c r="E980" s="99" t="s">
        <v>1288</v>
      </c>
    </row>
    <row r="981" outlineLevel="1">
      <c r="A981" s="113"/>
      <c r="B981" s="114" t="s">
        <v>1009</v>
      </c>
      <c r="C981" s="14" t="s">
        <v>136</v>
      </c>
      <c r="D981" s="123" t="s">
        <v>167</v>
      </c>
      <c r="E981" s="99" t="s">
        <v>1288</v>
      </c>
    </row>
    <row r="982" outlineLevel="1">
      <c r="A982" s="113"/>
      <c r="B982" s="114" t="s">
        <v>1640</v>
      </c>
      <c r="C982" s="14" t="s">
        <v>423</v>
      </c>
      <c r="D982" s="120" t="s">
        <v>708</v>
      </c>
      <c r="E982" s="99" t="s">
        <v>1288</v>
      </c>
    </row>
    <row r="983" outlineLevel="1">
      <c r="A983" s="113"/>
      <c r="B983" s="114" t="s">
        <v>347</v>
      </c>
      <c r="C983" s="14" t="s">
        <v>167</v>
      </c>
      <c r="D983" s="117" t="s">
        <v>423</v>
      </c>
      <c r="E983" s="99" t="s">
        <v>1288</v>
      </c>
    </row>
    <row r="984" outlineLevel="1">
      <c r="A984" s="113"/>
      <c r="B984" s="114" t="s">
        <v>737</v>
      </c>
      <c r="C984" s="14" t="s">
        <v>167</v>
      </c>
      <c r="D984" s="119" t="s">
        <v>447</v>
      </c>
      <c r="E984" s="99" t="s">
        <v>1288</v>
      </c>
    </row>
    <row r="985" outlineLevel="1">
      <c r="A985" s="113"/>
      <c r="B985" s="114" t="s">
        <v>1019</v>
      </c>
      <c r="C985" s="14" t="s">
        <v>167</v>
      </c>
      <c r="D985" s="119" t="s">
        <v>447</v>
      </c>
      <c r="E985" s="99" t="s">
        <v>1288</v>
      </c>
    </row>
    <row r="986" outlineLevel="1">
      <c r="A986" s="113"/>
      <c r="B986" s="114" t="s">
        <v>1022</v>
      </c>
      <c r="C986" s="14" t="s">
        <v>447</v>
      </c>
      <c r="D986" s="120" t="s">
        <v>708</v>
      </c>
      <c r="E986" s="99" t="s">
        <v>1288</v>
      </c>
    </row>
    <row r="987" outlineLevel="1">
      <c r="A987" s="113"/>
      <c r="B987" s="114" t="s">
        <v>1028</v>
      </c>
      <c r="C987" s="14" t="s">
        <v>423</v>
      </c>
      <c r="D987" s="119" t="s">
        <v>447</v>
      </c>
      <c r="E987" s="99" t="s">
        <v>1288</v>
      </c>
    </row>
    <row r="988" outlineLevel="1">
      <c r="A988" s="113"/>
      <c r="B988" s="114" t="s">
        <v>317</v>
      </c>
      <c r="C988" s="14" t="s">
        <v>136</v>
      </c>
      <c r="D988" s="123" t="s">
        <v>167</v>
      </c>
      <c r="E988" s="99" t="s">
        <v>1288</v>
      </c>
    </row>
    <row r="989" outlineLevel="1">
      <c r="A989" s="113"/>
      <c r="B989" s="114" t="s">
        <v>1641</v>
      </c>
      <c r="C989" s="14" t="s">
        <v>447</v>
      </c>
      <c r="D989" s="120" t="s">
        <v>708</v>
      </c>
      <c r="E989" s="99" t="s">
        <v>1288</v>
      </c>
    </row>
    <row r="990" outlineLevel="1">
      <c r="A990" s="113"/>
      <c r="B990" s="114" t="s">
        <v>1642</v>
      </c>
      <c r="C990" s="14" t="s">
        <v>423</v>
      </c>
      <c r="D990" s="120" t="s">
        <v>708</v>
      </c>
      <c r="E990" s="99" t="s">
        <v>1288</v>
      </c>
    </row>
    <row r="991" outlineLevel="1">
      <c r="A991" s="113"/>
      <c r="B991" s="114" t="s">
        <v>1643</v>
      </c>
      <c r="C991" s="14" t="s">
        <v>120</v>
      </c>
      <c r="D991" s="122" t="s">
        <v>136</v>
      </c>
      <c r="E991" s="99" t="s">
        <v>1288</v>
      </c>
    </row>
    <row r="992" outlineLevel="1">
      <c r="A992" s="113"/>
      <c r="B992" s="114" t="s">
        <v>1644</v>
      </c>
      <c r="C992" s="14" t="s">
        <v>167</v>
      </c>
      <c r="D992" s="117" t="s">
        <v>423</v>
      </c>
      <c r="E992" s="99" t="s">
        <v>1288</v>
      </c>
    </row>
    <row r="993" outlineLevel="1">
      <c r="A993" s="113"/>
      <c r="B993" s="114" t="s">
        <v>141</v>
      </c>
      <c r="C993" s="14" t="s">
        <v>120</v>
      </c>
      <c r="D993" s="122" t="s">
        <v>136</v>
      </c>
      <c r="E993" s="99" t="s">
        <v>1288</v>
      </c>
    </row>
    <row r="994" outlineLevel="1">
      <c r="A994" s="113"/>
      <c r="B994" s="114" t="s">
        <v>1645</v>
      </c>
      <c r="C994" s="98" t="s">
        <v>12</v>
      </c>
      <c r="D994" s="123" t="s">
        <v>167</v>
      </c>
      <c r="E994" s="99" t="s">
        <v>1646</v>
      </c>
    </row>
    <row r="995" outlineLevel="1">
      <c r="A995" s="113"/>
      <c r="B995" s="114" t="s">
        <v>989</v>
      </c>
      <c r="C995" s="14" t="s">
        <v>423</v>
      </c>
      <c r="D995" s="119" t="s">
        <v>447</v>
      </c>
      <c r="E995" s="99" t="s">
        <v>682</v>
      </c>
    </row>
    <row r="996" outlineLevel="1">
      <c r="A996" s="113"/>
      <c r="B996" s="114" t="s">
        <v>1647</v>
      </c>
      <c r="C996" s="14" t="s">
        <v>136</v>
      </c>
      <c r="D996" s="123" t="s">
        <v>167</v>
      </c>
      <c r="E996" s="99" t="s">
        <v>682</v>
      </c>
    </row>
    <row r="997" outlineLevel="1">
      <c r="A997" s="113"/>
      <c r="B997" s="114" t="s">
        <v>1648</v>
      </c>
      <c r="C997" s="14" t="s">
        <v>423</v>
      </c>
      <c r="D997" s="117" t="s">
        <v>423</v>
      </c>
      <c r="E997" s="99" t="s">
        <v>682</v>
      </c>
    </row>
    <row r="998" outlineLevel="1">
      <c r="A998" s="113"/>
      <c r="B998" s="114" t="s">
        <v>1038</v>
      </c>
      <c r="C998" s="14" t="s">
        <v>136</v>
      </c>
      <c r="D998" s="123" t="s">
        <v>167</v>
      </c>
      <c r="E998" s="99" t="s">
        <v>682</v>
      </c>
    </row>
    <row r="999" outlineLevel="1">
      <c r="A999" s="113"/>
      <c r="B999" s="114" t="s">
        <v>322</v>
      </c>
      <c r="C999" s="14" t="s">
        <v>120</v>
      </c>
      <c r="D999" s="125" t="s">
        <v>92</v>
      </c>
      <c r="E999" s="99" t="s">
        <v>682</v>
      </c>
    </row>
    <row r="1000" outlineLevel="1">
      <c r="A1000" s="113"/>
      <c r="B1000" s="114" t="s">
        <v>1649</v>
      </c>
      <c r="C1000" s="14" t="s">
        <v>120</v>
      </c>
      <c r="D1000" s="125" t="s">
        <v>92</v>
      </c>
      <c r="E1000" s="99" t="s">
        <v>1650</v>
      </c>
    </row>
    <row r="1001" outlineLevel="1">
      <c r="A1001" s="113"/>
      <c r="B1001" s="114" t="s">
        <v>973</v>
      </c>
      <c r="C1001" s="14" t="s">
        <v>423</v>
      </c>
      <c r="D1001" s="119" t="s">
        <v>447</v>
      </c>
      <c r="E1001" s="99" t="s">
        <v>1651</v>
      </c>
    </row>
    <row r="1002" outlineLevel="1">
      <c r="A1002" s="113"/>
      <c r="B1002" s="114" t="s">
        <v>1042</v>
      </c>
      <c r="C1002" s="98" t="s">
        <v>12</v>
      </c>
      <c r="D1002" s="119" t="s">
        <v>447</v>
      </c>
      <c r="E1002" s="99" t="s">
        <v>1652</v>
      </c>
    </row>
    <row r="1003" outlineLevel="1">
      <c r="A1003" s="113"/>
      <c r="B1003" s="114" t="s">
        <v>1653</v>
      </c>
      <c r="C1003" s="14" t="s">
        <v>120</v>
      </c>
      <c r="D1003" s="125" t="s">
        <v>92</v>
      </c>
      <c r="E1003" s="99" t="s">
        <v>1654</v>
      </c>
    </row>
    <row r="1004" outlineLevel="1">
      <c r="A1004" s="100"/>
      <c r="C1004" s="101"/>
    </row>
    <row r="1005" outlineLevel="1">
      <c r="A1005" s="105"/>
      <c r="B1005" s="58" t="s">
        <v>406</v>
      </c>
    </row>
    <row r="1006" outlineLevel="1">
      <c r="A1006" s="110"/>
      <c r="B1006" s="111" t="s">
        <v>54</v>
      </c>
      <c r="C1006" s="111" t="s">
        <v>1275</v>
      </c>
      <c r="D1006" s="46" t="s">
        <v>1276</v>
      </c>
      <c r="E1006" s="112" t="s">
        <v>421</v>
      </c>
    </row>
    <row r="1007" outlineLevel="1">
      <c r="A1007" s="106"/>
      <c r="B1007" s="98" t="s">
        <v>1655</v>
      </c>
      <c r="C1007" s="98" t="s">
        <v>120</v>
      </c>
      <c r="D1007" s="98" t="s">
        <v>447</v>
      </c>
    </row>
    <row r="1008" outlineLevel="1">
      <c r="A1008" s="106"/>
      <c r="B1008" s="98" t="s">
        <v>1656</v>
      </c>
      <c r="C1008" s="98" t="s">
        <v>447</v>
      </c>
      <c r="D1008" s="98" t="s">
        <v>911</v>
      </c>
    </row>
    <row r="1009" outlineLevel="1">
      <c r="A1009" s="106"/>
      <c r="B1009" s="98" t="s">
        <v>1657</v>
      </c>
      <c r="C1009" s="98" t="s">
        <v>423</v>
      </c>
      <c r="D1009" s="98" t="s">
        <v>708</v>
      </c>
    </row>
    <row r="1010" outlineLevel="1">
      <c r="A1010" s="106"/>
      <c r="B1010" s="98" t="s">
        <v>1658</v>
      </c>
      <c r="C1010" s="98" t="s">
        <v>167</v>
      </c>
      <c r="D1010" s="98" t="s">
        <v>167</v>
      </c>
    </row>
    <row r="1011" outlineLevel="1">
      <c r="A1011" s="106"/>
      <c r="B1011" s="98" t="s">
        <v>1659</v>
      </c>
      <c r="C1011" s="98" t="s">
        <v>167</v>
      </c>
      <c r="D1011" s="98" t="s">
        <v>423</v>
      </c>
    </row>
    <row r="1012" outlineLevel="1">
      <c r="A1012" s="106"/>
      <c r="B1012" s="98" t="s">
        <v>1660</v>
      </c>
      <c r="C1012" s="98" t="s">
        <v>120</v>
      </c>
      <c r="D1012" s="98" t="s">
        <v>423</v>
      </c>
    </row>
    <row r="1013" outlineLevel="1">
      <c r="A1013" s="106"/>
      <c r="B1013" s="98" t="s">
        <v>1661</v>
      </c>
      <c r="C1013" s="98" t="s">
        <v>120</v>
      </c>
      <c r="D1013" s="98" t="s">
        <v>136</v>
      </c>
    </row>
    <row r="1014" outlineLevel="1">
      <c r="A1014" s="106"/>
      <c r="B1014" s="98" t="s">
        <v>1662</v>
      </c>
      <c r="C1014" s="98" t="s">
        <v>423</v>
      </c>
      <c r="D1014" s="98" t="s">
        <v>708</v>
      </c>
    </row>
    <row r="1015" outlineLevel="1">
      <c r="A1015" s="106"/>
      <c r="B1015" s="98" t="s">
        <v>1663</v>
      </c>
      <c r="C1015" s="98" t="s">
        <v>71</v>
      </c>
      <c r="D1015" s="98" t="s">
        <v>71</v>
      </c>
    </row>
    <row r="1016" outlineLevel="1">
      <c r="A1016" s="106"/>
      <c r="B1016" s="98" t="s">
        <v>1664</v>
      </c>
      <c r="C1016" s="98" t="s">
        <v>92</v>
      </c>
      <c r="D1016" s="98" t="s">
        <v>92</v>
      </c>
    </row>
    <row r="1017" outlineLevel="1">
      <c r="A1017" s="106"/>
      <c r="B1017" s="98" t="s">
        <v>1665</v>
      </c>
      <c r="C1017" s="98" t="s">
        <v>136</v>
      </c>
      <c r="D1017" s="98" t="s">
        <v>167</v>
      </c>
    </row>
    <row r="1018" outlineLevel="1">
      <c r="A1018" s="106"/>
      <c r="B1018" s="98" t="s">
        <v>1666</v>
      </c>
      <c r="C1018" s="98" t="s">
        <v>136</v>
      </c>
      <c r="D1018" s="98" t="s">
        <v>167</v>
      </c>
    </row>
    <row r="1019" outlineLevel="1">
      <c r="A1019" s="106"/>
      <c r="B1019" s="98" t="s">
        <v>1667</v>
      </c>
      <c r="C1019" s="98" t="s">
        <v>136</v>
      </c>
      <c r="D1019" s="98" t="s">
        <v>423</v>
      </c>
    </row>
    <row r="1020" outlineLevel="1">
      <c r="A1020" s="106"/>
      <c r="B1020" s="98" t="s">
        <v>1668</v>
      </c>
      <c r="C1020" s="98" t="s">
        <v>71</v>
      </c>
      <c r="D1020" s="98" t="s">
        <v>71</v>
      </c>
    </row>
    <row r="1021" outlineLevel="1">
      <c r="A1021" s="106"/>
      <c r="B1021" s="98" t="s">
        <v>1669</v>
      </c>
      <c r="C1021" s="98" t="s">
        <v>120</v>
      </c>
      <c r="D1021" s="98" t="s">
        <v>120</v>
      </c>
    </row>
    <row r="1022" outlineLevel="1">
      <c r="A1022" s="106"/>
      <c r="B1022" s="98" t="s">
        <v>1670</v>
      </c>
      <c r="C1022" s="98" t="s">
        <v>423</v>
      </c>
      <c r="D1022" s="98" t="s">
        <v>708</v>
      </c>
    </row>
    <row r="1023" outlineLevel="1">
      <c r="A1023" s="106"/>
      <c r="B1023" s="98" t="s">
        <v>1671</v>
      </c>
      <c r="C1023" s="98" t="s">
        <v>92</v>
      </c>
      <c r="D1023" s="98" t="s">
        <v>423</v>
      </c>
    </row>
    <row r="1024" outlineLevel="1">
      <c r="A1024" s="106"/>
      <c r="B1024" s="98" t="s">
        <v>1672</v>
      </c>
      <c r="C1024" s="98" t="s">
        <v>447</v>
      </c>
      <c r="D1024" s="98" t="s">
        <v>708</v>
      </c>
    </row>
    <row r="1025" outlineLevel="1">
      <c r="A1025" s="106"/>
      <c r="B1025" s="98" t="s">
        <v>1673</v>
      </c>
      <c r="C1025" s="98" t="s">
        <v>71</v>
      </c>
      <c r="D1025" s="98" t="s">
        <v>71</v>
      </c>
    </row>
    <row r="1026" outlineLevel="1">
      <c r="A1026" s="106"/>
      <c r="B1026" s="98" t="s">
        <v>1674</v>
      </c>
      <c r="C1026" s="98" t="s">
        <v>136</v>
      </c>
      <c r="D1026" s="98" t="s">
        <v>423</v>
      </c>
    </row>
    <row r="1027" outlineLevel="1">
      <c r="A1027" s="106"/>
      <c r="B1027" s="98" t="s">
        <v>1675</v>
      </c>
      <c r="C1027" s="98" t="s">
        <v>136</v>
      </c>
      <c r="D1027" s="98" t="s">
        <v>136</v>
      </c>
    </row>
    <row r="1028" outlineLevel="1">
      <c r="A1028" s="106"/>
      <c r="B1028" s="98" t="s">
        <v>1676</v>
      </c>
      <c r="C1028" s="98" t="s">
        <v>167</v>
      </c>
      <c r="D1028" s="98" t="s">
        <v>447</v>
      </c>
    </row>
    <row r="1029" outlineLevel="1">
      <c r="A1029" s="106"/>
      <c r="B1029" s="98" t="s">
        <v>1677</v>
      </c>
      <c r="C1029" s="98" t="s">
        <v>71</v>
      </c>
      <c r="D1029" s="98" t="s">
        <v>120</v>
      </c>
    </row>
    <row r="1030" outlineLevel="1">
      <c r="A1030" s="106"/>
      <c r="B1030" s="98" t="s">
        <v>1678</v>
      </c>
      <c r="C1030" s="98" t="s">
        <v>167</v>
      </c>
      <c r="D1030" s="98" t="s">
        <v>447</v>
      </c>
    </row>
    <row r="1031" outlineLevel="1">
      <c r="A1031" s="106"/>
      <c r="B1031" s="98" t="s">
        <v>1679</v>
      </c>
      <c r="C1031" s="98" t="s">
        <v>71</v>
      </c>
      <c r="D1031" s="98" t="s">
        <v>120</v>
      </c>
    </row>
    <row r="1032" outlineLevel="1">
      <c r="A1032" s="106"/>
      <c r="B1032" s="98" t="s">
        <v>1680</v>
      </c>
      <c r="C1032" s="98" t="s">
        <v>167</v>
      </c>
      <c r="D1032" s="98" t="s">
        <v>423</v>
      </c>
    </row>
    <row r="1033" outlineLevel="1">
      <c r="A1033" s="106"/>
      <c r="B1033" s="98" t="s">
        <v>1681</v>
      </c>
      <c r="C1033" s="98" t="s">
        <v>92</v>
      </c>
      <c r="D1033" s="98" t="s">
        <v>120</v>
      </c>
    </row>
    <row r="1034" outlineLevel="1">
      <c r="A1034" s="106"/>
      <c r="B1034" s="98" t="s">
        <v>1682</v>
      </c>
      <c r="C1034" s="98" t="s">
        <v>92</v>
      </c>
      <c r="D1034" s="98" t="s">
        <v>92</v>
      </c>
    </row>
    <row r="1035" outlineLevel="1">
      <c r="A1035" s="106"/>
      <c r="B1035" s="98" t="s">
        <v>1683</v>
      </c>
      <c r="C1035" s="98" t="s">
        <v>136</v>
      </c>
      <c r="D1035" s="98" t="s">
        <v>92</v>
      </c>
    </row>
    <row r="1036" outlineLevel="1">
      <c r="A1036" s="106"/>
      <c r="B1036" s="98" t="s">
        <v>1684</v>
      </c>
      <c r="C1036" s="98" t="s">
        <v>167</v>
      </c>
      <c r="D1036" s="98" t="s">
        <v>708</v>
      </c>
    </row>
    <row r="1037" outlineLevel="1">
      <c r="A1037" s="106"/>
      <c r="B1037" s="98" t="s">
        <v>1685</v>
      </c>
      <c r="C1037" s="98" t="s">
        <v>71</v>
      </c>
      <c r="D1037" s="98" t="s">
        <v>71</v>
      </c>
    </row>
    <row r="1038" outlineLevel="1">
      <c r="A1038" s="106"/>
      <c r="B1038" s="98" t="s">
        <v>1686</v>
      </c>
      <c r="C1038" s="98" t="s">
        <v>423</v>
      </c>
      <c r="D1038" s="98" t="s">
        <v>447</v>
      </c>
    </row>
    <row r="1039" outlineLevel="1">
      <c r="A1039" s="106"/>
      <c r="B1039" s="98" t="s">
        <v>908</v>
      </c>
      <c r="C1039" s="98" t="s">
        <v>12</v>
      </c>
      <c r="D1039" s="98" t="s">
        <v>120</v>
      </c>
    </row>
    <row r="1040" outlineLevel="1">
      <c r="A1040" s="106"/>
      <c r="B1040" s="98" t="s">
        <v>906</v>
      </c>
      <c r="C1040" s="98" t="s">
        <v>12</v>
      </c>
      <c r="D1040" s="98" t="s">
        <v>136</v>
      </c>
    </row>
    <row r="1041" outlineLevel="1">
      <c r="A1041" s="106"/>
      <c r="B1041" s="98" t="s">
        <v>1687</v>
      </c>
      <c r="C1041" s="98" t="s">
        <v>12</v>
      </c>
      <c r="D1041" s="98" t="s">
        <v>708</v>
      </c>
    </row>
    <row r="1042" outlineLevel="1">
      <c r="A1042" s="106"/>
      <c r="B1042" s="98" t="s">
        <v>1688</v>
      </c>
      <c r="C1042" s="98" t="s">
        <v>12</v>
      </c>
      <c r="D1042" s="98" t="s">
        <v>136</v>
      </c>
    </row>
    <row r="1043" outlineLevel="1">
      <c r="A1043" s="106"/>
      <c r="B1043" s="98" t="s">
        <v>1689</v>
      </c>
      <c r="C1043" s="98" t="s">
        <v>12</v>
      </c>
      <c r="D1043" s="98" t="s">
        <v>167</v>
      </c>
    </row>
    <row r="1044" outlineLevel="1">
      <c r="A1044" s="106"/>
      <c r="B1044" s="98" t="s">
        <v>1690</v>
      </c>
      <c r="C1044" s="98" t="s">
        <v>12</v>
      </c>
      <c r="D1044" s="98" t="s">
        <v>71</v>
      </c>
    </row>
    <row r="1045" outlineLevel="1">
      <c r="A1045" s="106"/>
      <c r="B1045" s="98" t="s">
        <v>1691</v>
      </c>
      <c r="C1045" s="98" t="s">
        <v>12</v>
      </c>
      <c r="D1045" s="98" t="s">
        <v>136</v>
      </c>
    </row>
    <row r="1046" outlineLevel="1">
      <c r="A1046" s="106"/>
      <c r="B1046" s="98" t="s">
        <v>1692</v>
      </c>
      <c r="C1046" s="98" t="s">
        <v>12</v>
      </c>
      <c r="D1046" s="98" t="s">
        <v>708</v>
      </c>
    </row>
    <row r="1047" outlineLevel="1">
      <c r="A1047" s="106"/>
      <c r="B1047" s="98" t="s">
        <v>1693</v>
      </c>
      <c r="C1047" s="98" t="s">
        <v>12</v>
      </c>
      <c r="D1047" s="98" t="s">
        <v>167</v>
      </c>
    </row>
    <row r="1048" outlineLevel="1">
      <c r="A1048" s="106"/>
      <c r="B1048" s="98" t="s">
        <v>1694</v>
      </c>
      <c r="C1048" s="98" t="s">
        <v>12</v>
      </c>
      <c r="D1048" s="98" t="s">
        <v>120</v>
      </c>
    </row>
    <row r="1049" outlineLevel="1">
      <c r="A1049" s="106"/>
      <c r="B1049" s="98" t="s">
        <v>1695</v>
      </c>
      <c r="C1049" s="98" t="s">
        <v>12</v>
      </c>
      <c r="D1049" s="98" t="s">
        <v>167</v>
      </c>
    </row>
    <row r="1050" outlineLevel="1">
      <c r="A1050" s="106"/>
      <c r="B1050" s="98" t="s">
        <v>1696</v>
      </c>
      <c r="C1050" s="98" t="s">
        <v>12</v>
      </c>
      <c r="D1050" s="98" t="s">
        <v>423</v>
      </c>
    </row>
    <row r="1051" outlineLevel="1">
      <c r="A1051" s="106"/>
      <c r="B1051" s="98" t="s">
        <v>1697</v>
      </c>
      <c r="C1051" s="98" t="s">
        <v>12</v>
      </c>
      <c r="D1051" s="98" t="s">
        <v>136</v>
      </c>
    </row>
    <row r="1052" outlineLevel="1">
      <c r="A1052" s="106"/>
      <c r="B1052" s="98" t="s">
        <v>1698</v>
      </c>
      <c r="C1052" s="98" t="s">
        <v>12</v>
      </c>
      <c r="D1052" s="98" t="s">
        <v>167</v>
      </c>
    </row>
    <row r="1053" outlineLevel="1">
      <c r="A1053" s="106"/>
      <c r="B1053" s="98" t="s">
        <v>1699</v>
      </c>
      <c r="C1053" s="98" t="s">
        <v>12</v>
      </c>
      <c r="D1053" s="98" t="s">
        <v>447</v>
      </c>
    </row>
    <row r="1054" outlineLevel="1">
      <c r="A1054" s="106"/>
      <c r="B1054" s="98" t="s">
        <v>1700</v>
      </c>
      <c r="C1054" s="98" t="s">
        <v>12</v>
      </c>
      <c r="D1054" s="98" t="s">
        <v>423</v>
      </c>
    </row>
    <row r="1055" outlineLevel="1">
      <c r="A1055" s="106"/>
      <c r="B1055" s="98" t="s">
        <v>1701</v>
      </c>
      <c r="C1055" s="98" t="s">
        <v>12</v>
      </c>
      <c r="D1055" s="98" t="s">
        <v>120</v>
      </c>
    </row>
    <row r="1056" outlineLevel="1">
      <c r="A1056" s="106"/>
      <c r="B1056" s="98" t="s">
        <v>1702</v>
      </c>
      <c r="C1056" s="98" t="s">
        <v>12</v>
      </c>
      <c r="D1056" s="98" t="s">
        <v>71</v>
      </c>
    </row>
    <row r="1057" outlineLevel="1">
      <c r="A1057" s="106"/>
      <c r="B1057" s="98" t="s">
        <v>1703</v>
      </c>
      <c r="C1057" s="98" t="s">
        <v>12</v>
      </c>
      <c r="D1057" s="98" t="s">
        <v>136</v>
      </c>
    </row>
    <row r="1058" outlineLevel="1">
      <c r="A1058" s="106"/>
      <c r="B1058" s="98" t="s">
        <v>1704</v>
      </c>
      <c r="C1058" s="98" t="s">
        <v>12</v>
      </c>
      <c r="D1058" s="98" t="s">
        <v>136</v>
      </c>
    </row>
    <row r="1059" outlineLevel="1">
      <c r="A1059" s="106"/>
      <c r="B1059" s="98" t="s">
        <v>1705</v>
      </c>
      <c r="C1059" s="98" t="s">
        <v>12</v>
      </c>
      <c r="D1059" s="98" t="s">
        <v>120</v>
      </c>
    </row>
    <row r="1060" outlineLevel="1">
      <c r="A1060" s="106"/>
      <c r="B1060" s="98" t="s">
        <v>1706</v>
      </c>
      <c r="C1060" s="98" t="s">
        <v>120</v>
      </c>
      <c r="D1060" s="98" t="s">
        <v>136</v>
      </c>
    </row>
    <row r="1061" outlineLevel="1">
      <c r="A1061" s="106"/>
      <c r="B1061" s="98" t="s">
        <v>1707</v>
      </c>
      <c r="C1061" s="98" t="s">
        <v>120</v>
      </c>
      <c r="D1061" s="98" t="s">
        <v>120</v>
      </c>
    </row>
    <row r="1062" outlineLevel="1">
      <c r="A1062" s="106"/>
      <c r="B1062" s="98" t="s">
        <v>1708</v>
      </c>
      <c r="C1062" s="98" t="s">
        <v>447</v>
      </c>
      <c r="D1062" s="98" t="s">
        <v>911</v>
      </c>
    </row>
    <row r="1063" outlineLevel="1">
      <c r="A1063" s="106"/>
      <c r="B1063" s="98" t="s">
        <v>1709</v>
      </c>
      <c r="C1063" s="98" t="s">
        <v>120</v>
      </c>
      <c r="D1063" s="98" t="s">
        <v>136</v>
      </c>
    </row>
    <row r="1064" outlineLevel="1">
      <c r="A1064" s="106"/>
      <c r="B1064" s="98" t="s">
        <v>1710</v>
      </c>
      <c r="C1064" s="98" t="s">
        <v>136</v>
      </c>
      <c r="D1064" s="98" t="s">
        <v>423</v>
      </c>
    </row>
    <row r="1065" outlineLevel="1">
      <c r="A1065" s="106"/>
      <c r="B1065" s="98" t="s">
        <v>1711</v>
      </c>
      <c r="C1065" s="98" t="s">
        <v>423</v>
      </c>
      <c r="D1065" s="98" t="s">
        <v>911</v>
      </c>
    </row>
    <row r="1066" outlineLevel="1">
      <c r="A1066" s="106"/>
      <c r="B1066" s="98" t="s">
        <v>914</v>
      </c>
      <c r="C1066" s="98" t="s">
        <v>447</v>
      </c>
      <c r="D1066" s="98" t="s">
        <v>708</v>
      </c>
    </row>
    <row r="1067" outlineLevel="1">
      <c r="A1067" s="106"/>
      <c r="B1067" s="98" t="s">
        <v>1712</v>
      </c>
      <c r="C1067" s="98" t="s">
        <v>447</v>
      </c>
      <c r="D1067" s="98" t="s">
        <v>911</v>
      </c>
    </row>
    <row r="1068" outlineLevel="1">
      <c r="A1068" s="106"/>
      <c r="B1068" s="98" t="s">
        <v>1713</v>
      </c>
      <c r="C1068" s="98" t="s">
        <v>447</v>
      </c>
      <c r="D1068" s="98" t="s">
        <v>911</v>
      </c>
    </row>
    <row r="1069" outlineLevel="1">
      <c r="A1069" s="106"/>
      <c r="B1069" s="98" t="s">
        <v>1714</v>
      </c>
      <c r="C1069" s="98" t="s">
        <v>136</v>
      </c>
      <c r="D1069" s="98" t="s">
        <v>167</v>
      </c>
    </row>
    <row r="1070" outlineLevel="1">
      <c r="A1070" s="106"/>
      <c r="B1070" s="98" t="s">
        <v>1715</v>
      </c>
      <c r="C1070" s="98" t="s">
        <v>136</v>
      </c>
      <c r="D1070" s="98" t="s">
        <v>167</v>
      </c>
    </row>
    <row r="1071" outlineLevel="1">
      <c r="A1071" s="106"/>
      <c r="B1071" s="98" t="s">
        <v>913</v>
      </c>
      <c r="C1071" s="98" t="s">
        <v>447</v>
      </c>
      <c r="D1071" s="98" t="s">
        <v>911</v>
      </c>
    </row>
    <row r="1072" outlineLevel="1">
      <c r="A1072" s="106"/>
      <c r="B1072" s="98" t="s">
        <v>1716</v>
      </c>
      <c r="C1072" s="98" t="s">
        <v>423</v>
      </c>
      <c r="D1072" s="98" t="s">
        <v>911</v>
      </c>
    </row>
    <row r="1073" outlineLevel="1">
      <c r="A1073" s="106"/>
      <c r="B1073" s="98" t="s">
        <v>1717</v>
      </c>
      <c r="C1073" s="98" t="s">
        <v>92</v>
      </c>
      <c r="D1073" s="98" t="s">
        <v>92</v>
      </c>
    </row>
    <row r="1074" outlineLevel="1">
      <c r="A1074" s="106"/>
      <c r="B1074" s="98" t="s">
        <v>1718</v>
      </c>
      <c r="C1074" s="98" t="s">
        <v>120</v>
      </c>
      <c r="D1074" s="98" t="s">
        <v>167</v>
      </c>
    </row>
    <row r="1075" outlineLevel="1">
      <c r="A1075" s="106"/>
      <c r="B1075" s="98" t="s">
        <v>910</v>
      </c>
      <c r="C1075" s="98" t="s">
        <v>447</v>
      </c>
      <c r="D1075" s="98" t="s">
        <v>911</v>
      </c>
    </row>
    <row r="1076" outlineLevel="1">
      <c r="A1076" s="106"/>
      <c r="B1076" s="98" t="s">
        <v>1719</v>
      </c>
      <c r="C1076" s="98" t="s">
        <v>136</v>
      </c>
      <c r="D1076" s="98" t="s">
        <v>167</v>
      </c>
    </row>
    <row r="1077" outlineLevel="1">
      <c r="A1077" s="106"/>
      <c r="B1077" s="98" t="s">
        <v>1720</v>
      </c>
      <c r="C1077" s="98" t="s">
        <v>447</v>
      </c>
      <c r="D1077" s="98" t="s">
        <v>708</v>
      </c>
    </row>
    <row r="1078" outlineLevel="1">
      <c r="A1078" s="106"/>
      <c r="B1078" s="98" t="s">
        <v>1721</v>
      </c>
      <c r="C1078" s="98" t="s">
        <v>92</v>
      </c>
      <c r="D1078" s="98" t="s">
        <v>136</v>
      </c>
    </row>
    <row r="1079" outlineLevel="1">
      <c r="A1079" s="106"/>
      <c r="B1079" s="98" t="s">
        <v>1722</v>
      </c>
      <c r="C1079" s="98" t="s">
        <v>136</v>
      </c>
      <c r="D1079" s="98" t="s">
        <v>167</v>
      </c>
    </row>
    <row r="1080" outlineLevel="1">
      <c r="A1080" s="106"/>
      <c r="B1080" s="98" t="s">
        <v>1723</v>
      </c>
      <c r="C1080" s="98" t="s">
        <v>423</v>
      </c>
      <c r="D1080" s="98" t="s">
        <v>708</v>
      </c>
    </row>
    <row r="1081" outlineLevel="1">
      <c r="A1081" s="106"/>
      <c r="B1081" s="98" t="s">
        <v>1724</v>
      </c>
      <c r="C1081" s="98" t="s">
        <v>136</v>
      </c>
      <c r="D1081" s="98" t="s">
        <v>136</v>
      </c>
    </row>
    <row r="1082" outlineLevel="1">
      <c r="A1082" s="106"/>
      <c r="B1082" s="98" t="s">
        <v>1725</v>
      </c>
      <c r="C1082" s="98" t="s">
        <v>71</v>
      </c>
      <c r="D1082" s="98" t="s">
        <v>71</v>
      </c>
    </row>
    <row r="1083" outlineLevel="1">
      <c r="A1083" s="106"/>
      <c r="B1083" s="98" t="s">
        <v>1726</v>
      </c>
      <c r="C1083" s="98" t="s">
        <v>120</v>
      </c>
      <c r="D1083" s="98" t="s">
        <v>120</v>
      </c>
    </row>
    <row r="1084" outlineLevel="1">
      <c r="A1084" s="106"/>
      <c r="B1084" s="98" t="s">
        <v>1727</v>
      </c>
      <c r="C1084" s="98" t="s">
        <v>120</v>
      </c>
      <c r="D1084" s="98" t="s">
        <v>423</v>
      </c>
    </row>
    <row r="1085" outlineLevel="1">
      <c r="A1085" s="106"/>
      <c r="B1085" s="98" t="s">
        <v>1728</v>
      </c>
      <c r="C1085" s="98" t="s">
        <v>423</v>
      </c>
      <c r="D1085" s="98" t="s">
        <v>423</v>
      </c>
    </row>
    <row r="1086" outlineLevel="1">
      <c r="A1086" s="106"/>
      <c r="B1086" s="98" t="s">
        <v>1729</v>
      </c>
      <c r="C1086" s="98" t="s">
        <v>167</v>
      </c>
      <c r="D1086" s="98" t="s">
        <v>447</v>
      </c>
    </row>
    <row r="1087" outlineLevel="1">
      <c r="A1087" s="106"/>
      <c r="B1087" s="98" t="s">
        <v>1730</v>
      </c>
      <c r="C1087" s="98" t="s">
        <v>423</v>
      </c>
      <c r="D1087" s="98" t="s">
        <v>708</v>
      </c>
    </row>
    <row r="1088" outlineLevel="1">
      <c r="A1088" s="106"/>
      <c r="B1088" s="98" t="s">
        <v>1731</v>
      </c>
      <c r="C1088" s="98" t="s">
        <v>71</v>
      </c>
      <c r="D1088" s="98" t="s">
        <v>92</v>
      </c>
    </row>
    <row r="1089" outlineLevel="1">
      <c r="A1089" s="106"/>
      <c r="B1089" s="98" t="s">
        <v>1732</v>
      </c>
      <c r="C1089" s="98" t="s">
        <v>423</v>
      </c>
      <c r="D1089" s="98" t="s">
        <v>447</v>
      </c>
    </row>
    <row r="1090" outlineLevel="1">
      <c r="A1090" s="106"/>
      <c r="B1090" s="98" t="s">
        <v>1733</v>
      </c>
      <c r="C1090" s="98" t="s">
        <v>423</v>
      </c>
      <c r="D1090" s="98" t="s">
        <v>447</v>
      </c>
    </row>
    <row r="1091" outlineLevel="1">
      <c r="A1091" s="106"/>
      <c r="B1091" s="98" t="s">
        <v>1734</v>
      </c>
      <c r="C1091" s="98" t="s">
        <v>92</v>
      </c>
      <c r="D1091" s="98" t="s">
        <v>167</v>
      </c>
    </row>
    <row r="1092" outlineLevel="1">
      <c r="A1092" s="106"/>
      <c r="B1092" s="98" t="s">
        <v>1735</v>
      </c>
      <c r="C1092" s="98" t="s">
        <v>12</v>
      </c>
      <c r="D1092" s="98" t="s">
        <v>423</v>
      </c>
    </row>
    <row r="1093" outlineLevel="1">
      <c r="A1093" s="106"/>
      <c r="B1093" s="98" t="s">
        <v>1736</v>
      </c>
      <c r="C1093" s="98" t="s">
        <v>423</v>
      </c>
      <c r="D1093" s="98" t="s">
        <v>447</v>
      </c>
    </row>
    <row r="1094" outlineLevel="1">
      <c r="A1094" s="106"/>
      <c r="B1094" s="98" t="s">
        <v>1737</v>
      </c>
      <c r="C1094" s="98" t="s">
        <v>92</v>
      </c>
      <c r="D1094" s="98" t="s">
        <v>120</v>
      </c>
    </row>
    <row r="1095" outlineLevel="1">
      <c r="A1095" s="106"/>
      <c r="B1095" s="98" t="s">
        <v>1738</v>
      </c>
      <c r="C1095" s="98" t="s">
        <v>120</v>
      </c>
      <c r="D1095" s="98" t="s">
        <v>136</v>
      </c>
    </row>
    <row r="1096" outlineLevel="1">
      <c r="A1096" s="106"/>
      <c r="B1096" s="98" t="s">
        <v>1739</v>
      </c>
      <c r="C1096" s="98" t="s">
        <v>423</v>
      </c>
      <c r="D1096" s="98" t="s">
        <v>167</v>
      </c>
    </row>
    <row r="1097" outlineLevel="1">
      <c r="A1097" s="106"/>
      <c r="B1097" s="98" t="s">
        <v>1740</v>
      </c>
      <c r="C1097" s="98" t="s">
        <v>447</v>
      </c>
      <c r="D1097" s="98" t="s">
        <v>911</v>
      </c>
    </row>
    <row r="1098" outlineLevel="1">
      <c r="A1098" s="106"/>
      <c r="B1098" s="98" t="s">
        <v>1741</v>
      </c>
      <c r="C1098" s="98" t="s">
        <v>136</v>
      </c>
      <c r="D1098" s="98" t="s">
        <v>136</v>
      </c>
    </row>
    <row r="1099" outlineLevel="1">
      <c r="A1099" s="106"/>
      <c r="B1099" s="98" t="s">
        <v>1742</v>
      </c>
      <c r="C1099" s="98" t="s">
        <v>167</v>
      </c>
      <c r="D1099" s="98" t="s">
        <v>167</v>
      </c>
    </row>
    <row r="1100" outlineLevel="1">
      <c r="A1100" s="106"/>
      <c r="B1100" s="98" t="s">
        <v>1743</v>
      </c>
      <c r="C1100" s="98" t="s">
        <v>120</v>
      </c>
      <c r="D1100" s="98" t="s">
        <v>167</v>
      </c>
    </row>
    <row r="1101" outlineLevel="1">
      <c r="A1101" s="106"/>
      <c r="B1101" s="98" t="s">
        <v>1744</v>
      </c>
      <c r="C1101" s="98" t="s">
        <v>136</v>
      </c>
      <c r="D1101" s="98" t="s">
        <v>167</v>
      </c>
    </row>
    <row r="1102" outlineLevel="1">
      <c r="A1102" s="106"/>
      <c r="B1102" s="98" t="s">
        <v>1745</v>
      </c>
      <c r="C1102" s="98" t="s">
        <v>12</v>
      </c>
      <c r="D1102" s="98" t="s">
        <v>911</v>
      </c>
    </row>
    <row r="1103" outlineLevel="1">
      <c r="A1103" s="106"/>
      <c r="B1103" s="98" t="s">
        <v>1746</v>
      </c>
      <c r="C1103" s="98" t="s">
        <v>136</v>
      </c>
      <c r="D1103" s="98" t="s">
        <v>71</v>
      </c>
    </row>
    <row r="1104" outlineLevel="1">
      <c r="A1104" s="106"/>
      <c r="B1104" s="98" t="s">
        <v>1747</v>
      </c>
      <c r="C1104" s="98" t="s">
        <v>92</v>
      </c>
      <c r="D1104" s="98" t="s">
        <v>92</v>
      </c>
    </row>
    <row r="1105" outlineLevel="1">
      <c r="A1105" s="106"/>
      <c r="B1105" s="98" t="s">
        <v>1748</v>
      </c>
      <c r="C1105" s="98" t="s">
        <v>136</v>
      </c>
      <c r="D1105" s="98" t="s">
        <v>92</v>
      </c>
    </row>
    <row r="1106" outlineLevel="1">
      <c r="A1106" s="106"/>
      <c r="B1106" s="98"/>
      <c r="C1106" s="98"/>
    </row>
    <row r="1107" outlineLevel="1">
      <c r="A1107" s="105"/>
      <c r="B1107" s="58" t="s">
        <v>408</v>
      </c>
    </row>
    <row r="1108" outlineLevel="1">
      <c r="A1108" s="110"/>
      <c r="B1108" s="111" t="s">
        <v>54</v>
      </c>
      <c r="C1108" s="111" t="s">
        <v>1275</v>
      </c>
      <c r="D1108" s="46" t="s">
        <v>1276</v>
      </c>
      <c r="E1108" s="112" t="s">
        <v>421</v>
      </c>
    </row>
    <row r="1109" outlineLevel="1">
      <c r="A1109" s="106"/>
      <c r="B1109" s="98" t="s">
        <v>1749</v>
      </c>
      <c r="C1109" s="98" t="s">
        <v>120</v>
      </c>
      <c r="D1109" s="98" t="s">
        <v>92</v>
      </c>
    </row>
    <row r="1110" outlineLevel="1">
      <c r="A1110" s="106"/>
      <c r="B1110" s="98" t="s">
        <v>1750</v>
      </c>
      <c r="C1110" s="98" t="s">
        <v>12</v>
      </c>
      <c r="D1110" s="98" t="s">
        <v>167</v>
      </c>
    </row>
    <row r="1111" outlineLevel="1">
      <c r="A1111" s="106"/>
      <c r="B1111" s="98" t="s">
        <v>1097</v>
      </c>
      <c r="C1111" s="98" t="s">
        <v>167</v>
      </c>
      <c r="D1111" s="98" t="s">
        <v>120</v>
      </c>
    </row>
    <row r="1112" outlineLevel="1">
      <c r="A1112" s="106"/>
      <c r="B1112" s="98" t="s">
        <v>1751</v>
      </c>
      <c r="C1112" s="98" t="s">
        <v>167</v>
      </c>
      <c r="D1112" s="98" t="s">
        <v>120</v>
      </c>
    </row>
    <row r="1113" outlineLevel="1">
      <c r="A1113" s="106"/>
      <c r="B1113" s="98" t="s">
        <v>1752</v>
      </c>
      <c r="C1113" s="98" t="s">
        <v>120</v>
      </c>
      <c r="D1113" s="98" t="s">
        <v>92</v>
      </c>
    </row>
    <row r="1114" outlineLevel="1">
      <c r="A1114" s="106"/>
      <c r="B1114" s="98" t="s">
        <v>1753</v>
      </c>
      <c r="C1114" s="98" t="s">
        <v>92</v>
      </c>
      <c r="D1114" s="98" t="s">
        <v>71</v>
      </c>
    </row>
    <row r="1115" outlineLevel="1">
      <c r="A1115" s="106"/>
      <c r="B1115" s="98" t="s">
        <v>1754</v>
      </c>
      <c r="C1115" s="98" t="s">
        <v>423</v>
      </c>
      <c r="D1115" s="98" t="s">
        <v>136</v>
      </c>
    </row>
    <row r="1116" outlineLevel="1">
      <c r="A1116" s="106"/>
      <c r="B1116" s="98" t="s">
        <v>1755</v>
      </c>
      <c r="C1116" s="98" t="s">
        <v>167</v>
      </c>
      <c r="D1116" s="98" t="s">
        <v>120</v>
      </c>
    </row>
    <row r="1117" outlineLevel="1">
      <c r="A1117" s="106"/>
      <c r="B1117" s="98" t="s">
        <v>1756</v>
      </c>
      <c r="C1117" s="98" t="s">
        <v>120</v>
      </c>
      <c r="D1117" s="98" t="s">
        <v>423</v>
      </c>
    </row>
    <row r="1118" outlineLevel="1">
      <c r="A1118" s="106"/>
      <c r="B1118" s="98" t="s">
        <v>1757</v>
      </c>
      <c r="C1118" s="98" t="s">
        <v>92</v>
      </c>
      <c r="D1118" s="98" t="s">
        <v>71</v>
      </c>
    </row>
    <row r="1119" outlineLevel="1">
      <c r="A1119" s="106"/>
      <c r="B1119" s="98" t="s">
        <v>1758</v>
      </c>
      <c r="C1119" s="98" t="s">
        <v>447</v>
      </c>
      <c r="D1119" s="98" t="s">
        <v>167</v>
      </c>
    </row>
    <row r="1120" outlineLevel="1">
      <c r="A1120" s="106"/>
      <c r="B1120" s="98" t="s">
        <v>1759</v>
      </c>
      <c r="C1120" s="98" t="s">
        <v>167</v>
      </c>
      <c r="D1120" s="98" t="s">
        <v>136</v>
      </c>
    </row>
    <row r="1121" outlineLevel="1">
      <c r="A1121" s="106"/>
      <c r="B1121" s="98" t="s">
        <v>1760</v>
      </c>
      <c r="C1121" s="98" t="s">
        <v>167</v>
      </c>
      <c r="D1121" s="98" t="s">
        <v>136</v>
      </c>
    </row>
    <row r="1122" outlineLevel="1">
      <c r="A1122" s="106"/>
      <c r="B1122" s="98" t="s">
        <v>1761</v>
      </c>
      <c r="C1122" s="98" t="s">
        <v>136</v>
      </c>
      <c r="D1122" s="98" t="s">
        <v>120</v>
      </c>
    </row>
    <row r="1123" outlineLevel="1">
      <c r="A1123" s="106"/>
      <c r="B1123" s="98" t="s">
        <v>1762</v>
      </c>
      <c r="C1123" s="98" t="s">
        <v>136</v>
      </c>
      <c r="D1123" s="98" t="s">
        <v>92</v>
      </c>
    </row>
    <row r="1124" outlineLevel="1">
      <c r="A1124" s="106"/>
      <c r="B1124" s="98" t="s">
        <v>1763</v>
      </c>
      <c r="C1124" s="98" t="s">
        <v>71</v>
      </c>
      <c r="D1124" s="98" t="s">
        <v>120</v>
      </c>
    </row>
    <row r="1125" outlineLevel="1">
      <c r="A1125" s="106"/>
      <c r="B1125" s="98" t="s">
        <v>1764</v>
      </c>
      <c r="C1125" s="98" t="s">
        <v>12</v>
      </c>
      <c r="D1125" s="98" t="s">
        <v>120</v>
      </c>
    </row>
    <row r="1126" outlineLevel="1">
      <c r="A1126" s="106"/>
      <c r="B1126" s="98" t="s">
        <v>1765</v>
      </c>
      <c r="C1126" s="98" t="s">
        <v>136</v>
      </c>
      <c r="D1126" s="98" t="s">
        <v>423</v>
      </c>
    </row>
    <row r="1127" outlineLevel="1">
      <c r="A1127" s="106"/>
      <c r="B1127" s="98" t="s">
        <v>1766</v>
      </c>
      <c r="C1127" s="98" t="s">
        <v>167</v>
      </c>
      <c r="D1127" s="98" t="s">
        <v>92</v>
      </c>
    </row>
    <row r="1128" outlineLevel="1">
      <c r="A1128" s="106"/>
      <c r="B1128" s="98" t="s">
        <v>1767</v>
      </c>
      <c r="C1128" s="98" t="s">
        <v>447</v>
      </c>
      <c r="D1128" s="98" t="s">
        <v>423</v>
      </c>
    </row>
    <row r="1129" outlineLevel="1">
      <c r="A1129" s="106"/>
      <c r="B1129" s="98" t="s">
        <v>1768</v>
      </c>
      <c r="C1129" s="98" t="s">
        <v>136</v>
      </c>
      <c r="D1129" s="98" t="s">
        <v>120</v>
      </c>
    </row>
    <row r="1130" outlineLevel="1">
      <c r="A1130" s="106"/>
      <c r="B1130" s="98" t="s">
        <v>1769</v>
      </c>
      <c r="C1130" s="98" t="s">
        <v>136</v>
      </c>
      <c r="D1130" s="98" t="s">
        <v>92</v>
      </c>
    </row>
    <row r="1131" outlineLevel="1">
      <c r="A1131" s="106"/>
      <c r="B1131" s="98" t="s">
        <v>1770</v>
      </c>
      <c r="C1131" s="98" t="s">
        <v>167</v>
      </c>
      <c r="D1131" s="98" t="s">
        <v>136</v>
      </c>
    </row>
    <row r="1132" outlineLevel="1">
      <c r="A1132" s="106"/>
      <c r="B1132" s="98" t="s">
        <v>1771</v>
      </c>
      <c r="C1132" s="98" t="s">
        <v>447</v>
      </c>
      <c r="D1132" s="98" t="s">
        <v>423</v>
      </c>
    </row>
    <row r="1133" outlineLevel="1">
      <c r="A1133" s="106"/>
      <c r="B1133" s="98" t="s">
        <v>1772</v>
      </c>
      <c r="C1133" s="98" t="s">
        <v>120</v>
      </c>
      <c r="D1133" s="98" t="s">
        <v>71</v>
      </c>
    </row>
    <row r="1134" outlineLevel="1">
      <c r="A1134" s="106"/>
      <c r="B1134" s="98" t="s">
        <v>1773</v>
      </c>
      <c r="C1134" s="98" t="s">
        <v>423</v>
      </c>
      <c r="D1134" s="98" t="s">
        <v>136</v>
      </c>
    </row>
    <row r="1135" outlineLevel="1">
      <c r="A1135" s="106"/>
      <c r="B1135" s="98" t="s">
        <v>1774</v>
      </c>
      <c r="C1135" s="98" t="s">
        <v>423</v>
      </c>
      <c r="D1135" s="98" t="s">
        <v>120</v>
      </c>
    </row>
    <row r="1136" outlineLevel="1">
      <c r="A1136" s="106"/>
      <c r="B1136" s="98" t="s">
        <v>1775</v>
      </c>
      <c r="C1136" s="98" t="s">
        <v>136</v>
      </c>
      <c r="D1136" s="98" t="s">
        <v>120</v>
      </c>
    </row>
    <row r="1137" outlineLevel="1">
      <c r="A1137" s="106"/>
      <c r="B1137" s="98" t="s">
        <v>1776</v>
      </c>
      <c r="C1137" s="98" t="s">
        <v>12</v>
      </c>
      <c r="D1137" s="98" t="s">
        <v>167</v>
      </c>
    </row>
    <row r="1138" outlineLevel="1">
      <c r="A1138" s="106"/>
      <c r="B1138" s="98" t="s">
        <v>1777</v>
      </c>
      <c r="C1138" s="98" t="s">
        <v>136</v>
      </c>
      <c r="D1138" s="98" t="s">
        <v>120</v>
      </c>
    </row>
    <row r="1139" outlineLevel="1">
      <c r="A1139" s="106"/>
      <c r="B1139" s="98" t="s">
        <v>1778</v>
      </c>
      <c r="C1139" s="98" t="s">
        <v>423</v>
      </c>
      <c r="D1139" s="98" t="s">
        <v>136</v>
      </c>
    </row>
    <row r="1140" outlineLevel="1">
      <c r="A1140" s="106"/>
      <c r="B1140" s="98" t="s">
        <v>1779</v>
      </c>
      <c r="C1140" s="98" t="s">
        <v>423</v>
      </c>
      <c r="D1140" s="98" t="s">
        <v>136</v>
      </c>
    </row>
    <row r="1141" outlineLevel="1">
      <c r="A1141" s="106"/>
      <c r="B1141" s="98" t="s">
        <v>1780</v>
      </c>
      <c r="C1141" s="98" t="s">
        <v>423</v>
      </c>
      <c r="D1141" s="98" t="s">
        <v>92</v>
      </c>
    </row>
    <row r="1142">
      <c r="A1142" s="100"/>
    </row>
    <row r="1143">
      <c r="A1143" s="100"/>
    </row>
    <row r="1144">
      <c r="A1144" s="100"/>
    </row>
    <row r="1145">
      <c r="A1145" s="100"/>
    </row>
    <row r="1146">
      <c r="A1146" s="100"/>
    </row>
    <row r="1147">
      <c r="A1147" s="100"/>
    </row>
    <row r="1148">
      <c r="A1148" s="100"/>
    </row>
    <row r="1149">
      <c r="A1149" s="100"/>
    </row>
    <row r="1150">
      <c r="A1150" s="100"/>
    </row>
    <row r="1151">
      <c r="A1151" s="100"/>
    </row>
    <row r="1152">
      <c r="A1152" s="100"/>
    </row>
    <row r="1153">
      <c r="A1153" s="100"/>
    </row>
    <row r="1154">
      <c r="A1154" s="100"/>
    </row>
    <row r="1155">
      <c r="A1155" s="100"/>
    </row>
    <row r="1156">
      <c r="A1156" s="100"/>
    </row>
    <row r="1157">
      <c r="A1157" s="100"/>
    </row>
    <row r="1158">
      <c r="A1158" s="100"/>
    </row>
    <row r="1159">
      <c r="A1159" s="100"/>
    </row>
    <row r="1160">
      <c r="A1160" s="100"/>
    </row>
    <row r="1161">
      <c r="A1161" s="100"/>
    </row>
    <row r="1162">
      <c r="A1162" s="100"/>
    </row>
    <row r="1163">
      <c r="A1163" s="100"/>
    </row>
    <row r="1164">
      <c r="A1164" s="100"/>
    </row>
    <row r="1165">
      <c r="A1165" s="100"/>
    </row>
    <row r="1166">
      <c r="A1166" s="100"/>
    </row>
    <row r="1167">
      <c r="A1167" s="100"/>
    </row>
    <row r="1168">
      <c r="A1168" s="100"/>
      <c r="C1168" s="101"/>
    </row>
    <row r="1169">
      <c r="A1169" s="100"/>
      <c r="C1169" s="101"/>
    </row>
    <row r="1170">
      <c r="A1170" s="100"/>
      <c r="C1170" s="101"/>
    </row>
    <row r="1171">
      <c r="A1171" s="100"/>
      <c r="C1171" s="101"/>
    </row>
    <row r="1172">
      <c r="A1172" s="100"/>
      <c r="C1172" s="101"/>
    </row>
    <row r="1173">
      <c r="A1173" s="100"/>
      <c r="C1173" s="101"/>
    </row>
    <row r="1174">
      <c r="A1174" s="100"/>
      <c r="C1174" s="101"/>
    </row>
    <row r="1175">
      <c r="A1175" s="100"/>
      <c r="C1175" s="101"/>
    </row>
    <row r="1176">
      <c r="A1176" s="100"/>
      <c r="C1176" s="101"/>
    </row>
    <row r="1177">
      <c r="A1177" s="100"/>
      <c r="C1177" s="101"/>
    </row>
    <row r="1178">
      <c r="A1178" s="100"/>
      <c r="C1178" s="101"/>
    </row>
    <row r="1179">
      <c r="A1179" s="100"/>
      <c r="C1179" s="101"/>
    </row>
    <row r="1180">
      <c r="A1180" s="100"/>
      <c r="C1180" s="101"/>
    </row>
    <row r="1181">
      <c r="A1181" s="100"/>
      <c r="C1181" s="101"/>
    </row>
    <row r="1182">
      <c r="A1182" s="100"/>
      <c r="C1182" s="101"/>
    </row>
    <row r="1183">
      <c r="A1183" s="100"/>
      <c r="C1183" s="101"/>
    </row>
    <row r="1184">
      <c r="A1184" s="100"/>
      <c r="C1184" s="101"/>
    </row>
    <row r="1185">
      <c r="A1185" s="100"/>
      <c r="C1185" s="101"/>
    </row>
    <row r="1186">
      <c r="A1186" s="100"/>
      <c r="C1186" s="101"/>
    </row>
    <row r="1187">
      <c r="A1187" s="100"/>
      <c r="C1187" s="101"/>
    </row>
    <row r="1188">
      <c r="A1188" s="100"/>
      <c r="C1188" s="101"/>
    </row>
    <row r="1189">
      <c r="A1189" s="100"/>
      <c r="C1189" s="101"/>
    </row>
    <row r="1190">
      <c r="A1190" s="100"/>
      <c r="C1190" s="101"/>
    </row>
    <row r="1191">
      <c r="A1191" s="100"/>
      <c r="C1191" s="101"/>
    </row>
    <row r="1192">
      <c r="A1192" s="100"/>
      <c r="C1192" s="101"/>
    </row>
    <row r="1193">
      <c r="A1193" s="100"/>
      <c r="C1193" s="101"/>
    </row>
    <row r="1194">
      <c r="A1194" s="100"/>
      <c r="C1194" s="101"/>
    </row>
    <row r="1195">
      <c r="A1195" s="100"/>
      <c r="C1195" s="101"/>
    </row>
    <row r="1196">
      <c r="A1196" s="100"/>
      <c r="C1196" s="101"/>
    </row>
    <row r="1197">
      <c r="A1197" s="100"/>
      <c r="C1197" s="101"/>
    </row>
    <row r="1198">
      <c r="A1198" s="100"/>
      <c r="C1198" s="101"/>
    </row>
    <row r="1199">
      <c r="A1199" s="100"/>
      <c r="C1199" s="101"/>
    </row>
    <row r="1200">
      <c r="A1200" s="100"/>
      <c r="C1200" s="101"/>
    </row>
    <row r="1201">
      <c r="A1201" s="100"/>
      <c r="C1201" s="101"/>
    </row>
    <row r="1202">
      <c r="A1202" s="100"/>
      <c r="C1202" s="101"/>
    </row>
    <row r="1203">
      <c r="A1203" s="100"/>
      <c r="C1203" s="101"/>
    </row>
    <row r="1204">
      <c r="A1204" s="100"/>
      <c r="C1204" s="101"/>
    </row>
    <row r="1205">
      <c r="A1205" s="100"/>
      <c r="C1205" s="101"/>
    </row>
    <row r="1206">
      <c r="A1206" s="100"/>
      <c r="C1206" s="101"/>
    </row>
    <row r="1207">
      <c r="A1207" s="100"/>
      <c r="C1207" s="101"/>
    </row>
    <row r="1208">
      <c r="A1208" s="100"/>
      <c r="C1208" s="101"/>
    </row>
    <row r="1209">
      <c r="A1209" s="100"/>
      <c r="C1209" s="101"/>
    </row>
    <row r="1210">
      <c r="A1210" s="100"/>
      <c r="C1210" s="101"/>
    </row>
    <row r="1211">
      <c r="A1211" s="100"/>
      <c r="C1211" s="101"/>
    </row>
    <row r="1212">
      <c r="A1212" s="100"/>
      <c r="C1212" s="101"/>
    </row>
    <row r="1213">
      <c r="A1213" s="100"/>
      <c r="C1213" s="101"/>
    </row>
    <row r="1214">
      <c r="A1214" s="100"/>
      <c r="C1214" s="101"/>
    </row>
    <row r="1215">
      <c r="A1215" s="100"/>
      <c r="C1215" s="101"/>
    </row>
    <row r="1216">
      <c r="A1216" s="100"/>
      <c r="C1216" s="101"/>
    </row>
    <row r="1217">
      <c r="A1217" s="100"/>
      <c r="C1217" s="101"/>
    </row>
    <row r="1218">
      <c r="A1218" s="100"/>
      <c r="C1218" s="101"/>
    </row>
    <row r="1219">
      <c r="A1219" s="100"/>
      <c r="C1219" s="101"/>
    </row>
    <row r="1220">
      <c r="A1220" s="100"/>
      <c r="C1220" s="101"/>
    </row>
    <row r="1221">
      <c r="A1221" s="100"/>
      <c r="C1221" s="101"/>
    </row>
    <row r="1222">
      <c r="A1222" s="100"/>
      <c r="C1222" s="101"/>
    </row>
    <row r="1223">
      <c r="A1223" s="100"/>
      <c r="C1223" s="101"/>
    </row>
    <row r="1224">
      <c r="A1224" s="100"/>
      <c r="C1224" s="101"/>
    </row>
    <row r="1225">
      <c r="A1225" s="100"/>
      <c r="C1225" s="101"/>
    </row>
    <row r="1226">
      <c r="A1226" s="100"/>
      <c r="C1226" s="101"/>
    </row>
    <row r="1227">
      <c r="A1227" s="100"/>
      <c r="C1227" s="101"/>
    </row>
    <row r="1228">
      <c r="A1228" s="100"/>
      <c r="C1228" s="101"/>
    </row>
    <row r="1229">
      <c r="A1229" s="100"/>
      <c r="C1229" s="101"/>
    </row>
    <row r="1230">
      <c r="A1230" s="100"/>
      <c r="C1230" s="101"/>
    </row>
    <row r="1231">
      <c r="A1231" s="100"/>
      <c r="C1231" s="101"/>
    </row>
    <row r="1232">
      <c r="A1232" s="100"/>
      <c r="C1232" s="101"/>
    </row>
    <row r="1233">
      <c r="A1233" s="100"/>
      <c r="C1233" s="101"/>
    </row>
    <row r="1234">
      <c r="A1234" s="100"/>
      <c r="C1234" s="101"/>
    </row>
    <row r="1235">
      <c r="A1235" s="100"/>
      <c r="C1235" s="101"/>
    </row>
    <row r="1236">
      <c r="A1236" s="100"/>
      <c r="C1236" s="101"/>
    </row>
    <row r="1237">
      <c r="A1237" s="100"/>
      <c r="C1237" s="101"/>
    </row>
    <row r="1238">
      <c r="A1238" s="100"/>
      <c r="C1238" s="101"/>
    </row>
    <row r="1239">
      <c r="A1239" s="100"/>
      <c r="C1239" s="101"/>
    </row>
    <row r="1240">
      <c r="A1240" s="100"/>
      <c r="C1240" s="101"/>
    </row>
    <row r="1241">
      <c r="A1241" s="100"/>
      <c r="C1241" s="101"/>
    </row>
    <row r="1242">
      <c r="A1242" s="100"/>
      <c r="C1242" s="101"/>
    </row>
    <row r="1243">
      <c r="A1243" s="100"/>
      <c r="C1243" s="101"/>
    </row>
    <row r="1244">
      <c r="A1244" s="100"/>
      <c r="C1244" s="101"/>
    </row>
    <row r="1245">
      <c r="A1245" s="100"/>
      <c r="C1245" s="101"/>
    </row>
    <row r="1246">
      <c r="A1246" s="100"/>
      <c r="C1246" s="101"/>
    </row>
    <row r="1247">
      <c r="A1247" s="100"/>
      <c r="C1247" s="101"/>
    </row>
    <row r="1248">
      <c r="A1248" s="100"/>
      <c r="C1248" s="101"/>
    </row>
    <row r="1249">
      <c r="A1249" s="100"/>
      <c r="C1249" s="101"/>
    </row>
    <row r="1250">
      <c r="A1250" s="100"/>
      <c r="C1250" s="101"/>
    </row>
    <row r="1251">
      <c r="A1251" s="100"/>
      <c r="C1251" s="101"/>
    </row>
    <row r="1252">
      <c r="A1252" s="100"/>
      <c r="C1252" s="101"/>
    </row>
    <row r="1253">
      <c r="A1253" s="100"/>
      <c r="C1253" s="101"/>
    </row>
    <row r="1254">
      <c r="A1254" s="100"/>
      <c r="C1254" s="101"/>
    </row>
    <row r="1255">
      <c r="A1255" s="100"/>
      <c r="C1255" s="101"/>
    </row>
    <row r="1256">
      <c r="A1256" s="100"/>
      <c r="C1256" s="101"/>
    </row>
    <row r="1257">
      <c r="A1257" s="100"/>
      <c r="C1257" s="101"/>
    </row>
    <row r="1258">
      <c r="A1258" s="100"/>
      <c r="C1258" s="101"/>
    </row>
    <row r="1259">
      <c r="A1259" s="100"/>
      <c r="C1259" s="101"/>
    </row>
    <row r="1260">
      <c r="A1260" s="100"/>
      <c r="C1260" s="101"/>
    </row>
    <row r="1261">
      <c r="A1261" s="100"/>
      <c r="C1261" s="101"/>
    </row>
    <row r="1262">
      <c r="A1262" s="100"/>
      <c r="C1262" s="101"/>
    </row>
    <row r="1263">
      <c r="A1263" s="100"/>
      <c r="C1263" s="101"/>
    </row>
    <row r="1264">
      <c r="A1264" s="100"/>
      <c r="C1264" s="101"/>
    </row>
    <row r="1265">
      <c r="A1265" s="100"/>
      <c r="C1265" s="101"/>
    </row>
    <row r="1266">
      <c r="A1266" s="100"/>
      <c r="C1266" s="101"/>
    </row>
    <row r="1267">
      <c r="A1267" s="100"/>
      <c r="C1267" s="101"/>
    </row>
    <row r="1268">
      <c r="A1268" s="100"/>
      <c r="C1268" s="101"/>
    </row>
    <row r="1269">
      <c r="A1269" s="100"/>
      <c r="C1269" s="101"/>
    </row>
    <row r="1270">
      <c r="A1270" s="100"/>
      <c r="C1270" s="101"/>
    </row>
    <row r="1271">
      <c r="A1271" s="100"/>
      <c r="C1271" s="101"/>
    </row>
    <row r="1272">
      <c r="A1272" s="100"/>
      <c r="C1272" s="101"/>
    </row>
    <row r="1273">
      <c r="A1273" s="100"/>
      <c r="C1273" s="101"/>
    </row>
    <row r="1274">
      <c r="A1274" s="100"/>
      <c r="C1274" s="101"/>
    </row>
    <row r="1275">
      <c r="A1275" s="100"/>
      <c r="C1275" s="101"/>
    </row>
    <row r="1276">
      <c r="A1276" s="100"/>
      <c r="C1276" s="101"/>
    </row>
    <row r="1277">
      <c r="A1277" s="100"/>
      <c r="C1277" s="101"/>
    </row>
    <row r="1278">
      <c r="A1278" s="100"/>
      <c r="C1278" s="101"/>
    </row>
    <row r="1279">
      <c r="A1279" s="100"/>
      <c r="C1279" s="101"/>
    </row>
    <row r="1280">
      <c r="A1280" s="100"/>
      <c r="C1280" s="101"/>
    </row>
    <row r="1281">
      <c r="A1281" s="100"/>
      <c r="C1281" s="101"/>
    </row>
    <row r="1282">
      <c r="A1282" s="100"/>
      <c r="C1282" s="101"/>
    </row>
    <row r="1283">
      <c r="A1283" s="100"/>
      <c r="C1283" s="101"/>
    </row>
    <row r="1284">
      <c r="A1284" s="100"/>
      <c r="C1284" s="101"/>
    </row>
    <row r="1285">
      <c r="A1285" s="100"/>
      <c r="C1285" s="101"/>
    </row>
    <row r="1286">
      <c r="A1286" s="100"/>
      <c r="C1286" s="101"/>
    </row>
    <row r="1287">
      <c r="A1287" s="100"/>
      <c r="C1287" s="101"/>
    </row>
    <row r="1288">
      <c r="A1288" s="100"/>
      <c r="C1288" s="101"/>
    </row>
    <row r="1289">
      <c r="A1289" s="100"/>
      <c r="C1289" s="101"/>
    </row>
    <row r="1290">
      <c r="A1290" s="100"/>
      <c r="C1290" s="101"/>
    </row>
    <row r="1291">
      <c r="A1291" s="100"/>
      <c r="C1291" s="101"/>
    </row>
    <row r="1292">
      <c r="A1292" s="100"/>
      <c r="C1292" s="101"/>
    </row>
    <row r="1293">
      <c r="A1293" s="100"/>
      <c r="C1293" s="101"/>
    </row>
    <row r="1294">
      <c r="A1294" s="100"/>
      <c r="C1294" s="101"/>
    </row>
    <row r="1295">
      <c r="A1295" s="100"/>
      <c r="C1295" s="101"/>
    </row>
    <row r="1296">
      <c r="A1296" s="100"/>
      <c r="C1296" s="101"/>
    </row>
    <row r="1297">
      <c r="A1297" s="100"/>
      <c r="C1297" s="101"/>
    </row>
    <row r="1298">
      <c r="A1298" s="100"/>
      <c r="C1298" s="101"/>
    </row>
    <row r="1299">
      <c r="A1299" s="100"/>
      <c r="C1299" s="101"/>
    </row>
    <row r="1300">
      <c r="A1300" s="100"/>
      <c r="C1300" s="101"/>
    </row>
    <row r="1301">
      <c r="A1301" s="100"/>
      <c r="C1301" s="101"/>
    </row>
    <row r="1302">
      <c r="A1302" s="100"/>
      <c r="C1302" s="101"/>
    </row>
    <row r="1303">
      <c r="A1303" s="100"/>
      <c r="C1303" s="101"/>
    </row>
    <row r="1304">
      <c r="A1304" s="100"/>
      <c r="C1304" s="101"/>
    </row>
    <row r="1305">
      <c r="A1305" s="100"/>
      <c r="C1305" s="101"/>
    </row>
    <row r="1306">
      <c r="A1306" s="100"/>
      <c r="C1306" s="101"/>
    </row>
    <row r="1307">
      <c r="A1307" s="100"/>
      <c r="C1307" s="101"/>
    </row>
    <row r="1308">
      <c r="A1308" s="100"/>
      <c r="C1308" s="101"/>
    </row>
    <row r="1309">
      <c r="A1309" s="100"/>
      <c r="C1309" s="101"/>
    </row>
    <row r="1310">
      <c r="A1310" s="100"/>
      <c r="C1310" s="101"/>
    </row>
    <row r="1311">
      <c r="A1311" s="100"/>
      <c r="C1311" s="101"/>
    </row>
    <row r="1312">
      <c r="A1312" s="100"/>
      <c r="C1312" s="101"/>
    </row>
    <row r="1313">
      <c r="A1313" s="100"/>
      <c r="C1313" s="101"/>
    </row>
    <row r="1314">
      <c r="A1314" s="100"/>
      <c r="C1314" s="101"/>
    </row>
    <row r="1315">
      <c r="A1315" s="100"/>
      <c r="C1315" s="101"/>
    </row>
    <row r="1316">
      <c r="A1316" s="100"/>
      <c r="C1316" s="101"/>
    </row>
    <row r="1317">
      <c r="A1317" s="100"/>
      <c r="C1317" s="101"/>
    </row>
    <row r="1318">
      <c r="A1318" s="100"/>
      <c r="C1318" s="101"/>
    </row>
    <row r="1319">
      <c r="A1319" s="100"/>
      <c r="C1319" s="101"/>
    </row>
    <row r="1320">
      <c r="A1320" s="100"/>
      <c r="C1320" s="101"/>
    </row>
    <row r="1321">
      <c r="A1321" s="100"/>
      <c r="C1321" s="101"/>
    </row>
    <row r="1322">
      <c r="A1322" s="100"/>
      <c r="C1322" s="101"/>
    </row>
    <row r="1323">
      <c r="A1323" s="100"/>
      <c r="C1323" s="101"/>
    </row>
    <row r="1324">
      <c r="A1324" s="100"/>
      <c r="C1324" s="101"/>
    </row>
    <row r="1325">
      <c r="A1325" s="100"/>
      <c r="C1325" s="101"/>
    </row>
    <row r="1326">
      <c r="A1326" s="100"/>
      <c r="C1326" s="101"/>
    </row>
    <row r="1327">
      <c r="A1327" s="100"/>
      <c r="C1327" s="101"/>
    </row>
    <row r="1328">
      <c r="A1328" s="100"/>
      <c r="C1328" s="101"/>
    </row>
    <row r="1329">
      <c r="A1329" s="100"/>
      <c r="C1329" s="101"/>
    </row>
    <row r="1330">
      <c r="A1330" s="100"/>
      <c r="C1330" s="101"/>
    </row>
    <row r="1331">
      <c r="A1331" s="100"/>
      <c r="C1331" s="101"/>
    </row>
    <row r="1332">
      <c r="A1332" s="100"/>
      <c r="C1332" s="101"/>
    </row>
    <row r="1333">
      <c r="A1333" s="100"/>
      <c r="C1333" s="101"/>
    </row>
    <row r="1334">
      <c r="A1334" s="100"/>
      <c r="C1334" s="101"/>
    </row>
    <row r="1335">
      <c r="A1335" s="100"/>
      <c r="C1335" s="101"/>
    </row>
    <row r="1336">
      <c r="A1336" s="100"/>
      <c r="C1336" s="101"/>
    </row>
    <row r="1337">
      <c r="A1337" s="100"/>
      <c r="C1337" s="101"/>
    </row>
    <row r="1338">
      <c r="A1338" s="100"/>
      <c r="C1338" s="101"/>
    </row>
    <row r="1339">
      <c r="A1339" s="100"/>
      <c r="C1339" s="101"/>
    </row>
    <row r="1340">
      <c r="A1340" s="100"/>
      <c r="C1340" s="101"/>
    </row>
    <row r="1341">
      <c r="A1341" s="100"/>
      <c r="C1341" s="101"/>
    </row>
    <row r="1342">
      <c r="A1342" s="100"/>
      <c r="C1342" s="101"/>
    </row>
    <row r="1343">
      <c r="A1343" s="100"/>
      <c r="C1343" s="101"/>
    </row>
    <row r="1344">
      <c r="A1344" s="100"/>
      <c r="C1344" s="101"/>
    </row>
    <row r="1345">
      <c r="A1345" s="100"/>
      <c r="C1345" s="101"/>
    </row>
    <row r="1346">
      <c r="A1346" s="100"/>
      <c r="C1346" s="101"/>
    </row>
    <row r="1347">
      <c r="A1347" s="100"/>
      <c r="C1347" s="101"/>
    </row>
    <row r="1348">
      <c r="A1348" s="100"/>
      <c r="C1348" s="101"/>
    </row>
    <row r="1349">
      <c r="A1349" s="100"/>
      <c r="C1349" s="101"/>
    </row>
    <row r="1350">
      <c r="A1350" s="100"/>
      <c r="C1350" s="101"/>
    </row>
    <row r="1351">
      <c r="A1351" s="100"/>
      <c r="C1351" s="101"/>
    </row>
    <row r="1352">
      <c r="A1352" s="100"/>
      <c r="C1352" s="101"/>
    </row>
    <row r="1353">
      <c r="A1353" s="100"/>
      <c r="C1353" s="101"/>
    </row>
    <row r="1354">
      <c r="A1354" s="100"/>
      <c r="C1354" s="101"/>
    </row>
    <row r="1355">
      <c r="A1355" s="100"/>
      <c r="C1355" s="101"/>
    </row>
    <row r="1356">
      <c r="A1356" s="100"/>
      <c r="C1356" s="101"/>
    </row>
    <row r="1357">
      <c r="A1357" s="100"/>
      <c r="C1357" s="101"/>
    </row>
    <row r="1358">
      <c r="A1358" s="100"/>
      <c r="C1358" s="101"/>
    </row>
    <row r="1359">
      <c r="A1359" s="100"/>
      <c r="C1359" s="101"/>
    </row>
    <row r="1360">
      <c r="A1360" s="100"/>
      <c r="C1360" s="101"/>
    </row>
    <row r="1361">
      <c r="A1361" s="100"/>
      <c r="C1361" s="101"/>
    </row>
    <row r="1362">
      <c r="A1362" s="100"/>
      <c r="C1362" s="101"/>
    </row>
    <row r="1363">
      <c r="A1363" s="100"/>
      <c r="C1363" s="101"/>
    </row>
    <row r="1364">
      <c r="A1364" s="100"/>
      <c r="C1364" s="101"/>
    </row>
    <row r="1365">
      <c r="A1365" s="100"/>
      <c r="C1365" s="101"/>
    </row>
    <row r="1366">
      <c r="A1366" s="100"/>
      <c r="C1366" s="101"/>
    </row>
    <row r="1367">
      <c r="A1367" s="100"/>
      <c r="C1367" s="101"/>
    </row>
    <row r="1368">
      <c r="A1368" s="100"/>
      <c r="C1368" s="101"/>
    </row>
    <row r="1369">
      <c r="A1369" s="100"/>
      <c r="C1369" s="101"/>
    </row>
    <row r="1370">
      <c r="A1370" s="100"/>
      <c r="C1370" s="101"/>
    </row>
    <row r="1371">
      <c r="A1371" s="100"/>
      <c r="C1371" s="101"/>
    </row>
    <row r="1372">
      <c r="A1372" s="100"/>
      <c r="C1372" s="101"/>
    </row>
    <row r="1373">
      <c r="A1373" s="100"/>
      <c r="C1373" s="101"/>
    </row>
    <row r="1374">
      <c r="A1374" s="100"/>
      <c r="C1374" s="101"/>
    </row>
    <row r="1375">
      <c r="A1375" s="100"/>
      <c r="C1375" s="101"/>
    </row>
    <row r="1376">
      <c r="A1376" s="100"/>
      <c r="C1376" s="101"/>
    </row>
    <row r="1377">
      <c r="A1377" s="100"/>
      <c r="C1377" s="101"/>
    </row>
    <row r="1378">
      <c r="A1378" s="100"/>
      <c r="C1378" s="101"/>
    </row>
    <row r="1379">
      <c r="A1379" s="100"/>
      <c r="C1379" s="101"/>
    </row>
    <row r="1380">
      <c r="A1380" s="100"/>
      <c r="C1380" s="101"/>
    </row>
    <row r="1381">
      <c r="A1381" s="100"/>
      <c r="C1381" s="101"/>
    </row>
    <row r="1382">
      <c r="A1382" s="100"/>
      <c r="C1382" s="101"/>
    </row>
    <row r="1383">
      <c r="A1383" s="100"/>
      <c r="C1383" s="101"/>
    </row>
    <row r="1384">
      <c r="A1384" s="100"/>
      <c r="C1384" s="101"/>
    </row>
    <row r="1385">
      <c r="A1385" s="100"/>
      <c r="C1385" s="101"/>
    </row>
    <row r="1386">
      <c r="A1386" s="100"/>
      <c r="C1386" s="101"/>
    </row>
    <row r="1387">
      <c r="A1387" s="100"/>
      <c r="C1387" s="101"/>
    </row>
    <row r="1388">
      <c r="A1388" s="100"/>
      <c r="C1388" s="101"/>
    </row>
    <row r="1389">
      <c r="A1389" s="100"/>
      <c r="C1389" s="101"/>
    </row>
    <row r="1390">
      <c r="A1390" s="100"/>
      <c r="C1390" s="101"/>
    </row>
    <row r="1391">
      <c r="A1391" s="100"/>
      <c r="C1391" s="101"/>
    </row>
    <row r="1392">
      <c r="A1392" s="100"/>
      <c r="C1392" s="101"/>
    </row>
    <row r="1393">
      <c r="A1393" s="100"/>
      <c r="C1393" s="101"/>
    </row>
    <row r="1394">
      <c r="A1394" s="100"/>
      <c r="C1394" s="101"/>
    </row>
    <row r="1395">
      <c r="A1395" s="100"/>
      <c r="C1395" s="101"/>
    </row>
    <row r="1396">
      <c r="A1396" s="100"/>
      <c r="C1396" s="101"/>
    </row>
    <row r="1397">
      <c r="A1397" s="100"/>
      <c r="C1397" s="101"/>
    </row>
    <row r="1398">
      <c r="A1398" s="100"/>
      <c r="C1398" s="101"/>
    </row>
    <row r="1399">
      <c r="A1399" s="100"/>
      <c r="C1399" s="101"/>
    </row>
    <row r="1400">
      <c r="A1400" s="100"/>
      <c r="C1400" s="101"/>
    </row>
    <row r="1401">
      <c r="A1401" s="100"/>
      <c r="C1401" s="101"/>
    </row>
    <row r="1402">
      <c r="A1402" s="100"/>
      <c r="C1402" s="101"/>
    </row>
    <row r="1403">
      <c r="A1403" s="100"/>
      <c r="C1403" s="101"/>
    </row>
    <row r="1404">
      <c r="A1404" s="100"/>
      <c r="C1404" s="101"/>
    </row>
    <row r="1405">
      <c r="A1405" s="100"/>
      <c r="C1405" s="101"/>
    </row>
    <row r="1406">
      <c r="A1406" s="100"/>
      <c r="C1406" s="101"/>
    </row>
    <row r="1407">
      <c r="A1407" s="100"/>
      <c r="C1407" s="101"/>
    </row>
    <row r="1408">
      <c r="A1408" s="100"/>
      <c r="C1408" s="101"/>
    </row>
    <row r="1409">
      <c r="A1409" s="100"/>
      <c r="C1409" s="101"/>
    </row>
    <row r="1410">
      <c r="A1410" s="100"/>
      <c r="C1410" s="101"/>
    </row>
    <row r="1411">
      <c r="A1411" s="100"/>
      <c r="C1411" s="101"/>
    </row>
    <row r="1412">
      <c r="A1412" s="100"/>
      <c r="C1412" s="101"/>
    </row>
    <row r="1413">
      <c r="A1413" s="100"/>
      <c r="C1413" s="101"/>
    </row>
    <row r="1414">
      <c r="A1414" s="100"/>
      <c r="C1414" s="101"/>
    </row>
    <row r="1415">
      <c r="A1415" s="100"/>
      <c r="C1415" s="101"/>
    </row>
    <row r="1416">
      <c r="A1416" s="100"/>
      <c r="C1416" s="101"/>
    </row>
    <row r="1417">
      <c r="A1417" s="100"/>
      <c r="C1417" s="101"/>
    </row>
    <row r="1418">
      <c r="A1418" s="100"/>
      <c r="C1418" s="101"/>
    </row>
    <row r="1419">
      <c r="A1419" s="100"/>
      <c r="C1419" s="101"/>
    </row>
    <row r="1420">
      <c r="A1420" s="100"/>
      <c r="C1420" s="101"/>
    </row>
    <row r="1421">
      <c r="A1421" s="100"/>
      <c r="C1421" s="101"/>
    </row>
    <row r="1422">
      <c r="A1422" s="100"/>
      <c r="C1422" s="101"/>
    </row>
    <row r="1423">
      <c r="A1423" s="100"/>
      <c r="C1423" s="101"/>
    </row>
    <row r="1424">
      <c r="A1424" s="100"/>
      <c r="C1424" s="101"/>
    </row>
    <row r="1425">
      <c r="A1425" s="100"/>
      <c r="C1425" s="101"/>
    </row>
    <row r="1426">
      <c r="A1426" s="100"/>
      <c r="C1426" s="101"/>
    </row>
    <row r="1427">
      <c r="A1427" s="100"/>
      <c r="C1427" s="101"/>
    </row>
    <row r="1428">
      <c r="A1428" s="100"/>
      <c r="C1428" s="101"/>
    </row>
    <row r="1429">
      <c r="A1429" s="100"/>
      <c r="C1429" s="101"/>
    </row>
    <row r="1430">
      <c r="A1430" s="100"/>
      <c r="C1430" s="101"/>
    </row>
    <row r="1431">
      <c r="A1431" s="100"/>
      <c r="C1431" s="101"/>
    </row>
    <row r="1432">
      <c r="A1432" s="100"/>
      <c r="C1432" s="101"/>
    </row>
    <row r="1433">
      <c r="A1433" s="100"/>
      <c r="C1433" s="101"/>
    </row>
    <row r="1434">
      <c r="A1434" s="100"/>
      <c r="C1434" s="101"/>
    </row>
    <row r="1435">
      <c r="A1435" s="100"/>
      <c r="C1435" s="101"/>
    </row>
    <row r="1436">
      <c r="A1436" s="100"/>
      <c r="C1436" s="101"/>
    </row>
    <row r="1437">
      <c r="A1437" s="100"/>
      <c r="C1437" s="101"/>
    </row>
    <row r="1438">
      <c r="A1438" s="100"/>
      <c r="C1438" s="101"/>
    </row>
    <row r="1439">
      <c r="A1439" s="100"/>
      <c r="C1439" s="101"/>
    </row>
    <row r="1440">
      <c r="A1440" s="100"/>
      <c r="C1440" s="101"/>
    </row>
    <row r="1441">
      <c r="A1441" s="100"/>
      <c r="C1441" s="101"/>
    </row>
    <row r="1442">
      <c r="A1442" s="100"/>
      <c r="C1442" s="101"/>
    </row>
    <row r="1443">
      <c r="A1443" s="100"/>
      <c r="C1443" s="101"/>
    </row>
    <row r="1444">
      <c r="A1444" s="100"/>
      <c r="C1444" s="101"/>
    </row>
    <row r="1445">
      <c r="A1445" s="100"/>
      <c r="C1445" s="101"/>
    </row>
    <row r="1446">
      <c r="A1446" s="100"/>
      <c r="C1446" s="101"/>
    </row>
    <row r="1447">
      <c r="A1447" s="100"/>
      <c r="C1447" s="101"/>
    </row>
    <row r="1448">
      <c r="A1448" s="100"/>
      <c r="C1448" s="101"/>
    </row>
    <row r="1449">
      <c r="A1449" s="100"/>
      <c r="C1449" s="101"/>
    </row>
    <row r="1450">
      <c r="A1450" s="100"/>
      <c r="C1450" s="101"/>
    </row>
    <row r="1451">
      <c r="A1451" s="100"/>
      <c r="C1451" s="101"/>
    </row>
    <row r="1452">
      <c r="A1452" s="100"/>
      <c r="C1452" s="101"/>
    </row>
    <row r="1453">
      <c r="A1453" s="100"/>
      <c r="C1453" s="101"/>
    </row>
    <row r="1454">
      <c r="A1454" s="100"/>
      <c r="C1454" s="101"/>
    </row>
    <row r="1455">
      <c r="A1455" s="100"/>
      <c r="C1455" s="101"/>
    </row>
    <row r="1456">
      <c r="A1456" s="100"/>
      <c r="C1456" s="101"/>
    </row>
    <row r="1457">
      <c r="A1457" s="100"/>
      <c r="C1457" s="101"/>
    </row>
    <row r="1458">
      <c r="A1458" s="100"/>
      <c r="C1458" s="101"/>
    </row>
    <row r="1459">
      <c r="A1459" s="100"/>
      <c r="C1459" s="101"/>
    </row>
    <row r="1460">
      <c r="A1460" s="100"/>
      <c r="C1460" s="101"/>
    </row>
    <row r="1461">
      <c r="A1461" s="100"/>
      <c r="C1461" s="101"/>
    </row>
    <row r="1462">
      <c r="A1462" s="100"/>
      <c r="C1462" s="101"/>
    </row>
    <row r="1463">
      <c r="A1463" s="100"/>
      <c r="C1463" s="101"/>
    </row>
    <row r="1464">
      <c r="A1464" s="100"/>
      <c r="C1464" s="101"/>
    </row>
    <row r="1465">
      <c r="A1465" s="100"/>
      <c r="C1465" s="101"/>
    </row>
    <row r="1466">
      <c r="A1466" s="100"/>
      <c r="C1466" s="101"/>
    </row>
    <row r="1467">
      <c r="A1467" s="100"/>
      <c r="C1467" s="101"/>
    </row>
    <row r="1468">
      <c r="A1468" s="100"/>
      <c r="C1468" s="101"/>
    </row>
    <row r="1469">
      <c r="A1469" s="100"/>
      <c r="C1469" s="101"/>
    </row>
    <row r="1470">
      <c r="A1470" s="100"/>
      <c r="C1470" s="101"/>
    </row>
    <row r="1471">
      <c r="A1471" s="100"/>
      <c r="C1471" s="101"/>
    </row>
    <row r="1472">
      <c r="A1472" s="100"/>
      <c r="C1472" s="101"/>
    </row>
    <row r="1473">
      <c r="A1473" s="100"/>
      <c r="C1473" s="101"/>
    </row>
    <row r="1474">
      <c r="A1474" s="100"/>
      <c r="C1474" s="101"/>
    </row>
    <row r="1475">
      <c r="A1475" s="100"/>
      <c r="C1475" s="101"/>
    </row>
    <row r="1476">
      <c r="A1476" s="100"/>
      <c r="C1476" s="101"/>
    </row>
    <row r="1477">
      <c r="A1477" s="100"/>
      <c r="C1477" s="101"/>
    </row>
    <row r="1478">
      <c r="A1478" s="100"/>
      <c r="C1478" s="101"/>
    </row>
    <row r="1479">
      <c r="A1479" s="100"/>
      <c r="C1479" s="101"/>
    </row>
    <row r="1480">
      <c r="A1480" s="100"/>
      <c r="C1480" s="101"/>
    </row>
    <row r="1481">
      <c r="A1481" s="100"/>
      <c r="C1481" s="101"/>
    </row>
    <row r="1482">
      <c r="A1482" s="100"/>
      <c r="C1482" s="101"/>
    </row>
    <row r="1483">
      <c r="A1483" s="100"/>
      <c r="C1483" s="101"/>
    </row>
    <row r="1484">
      <c r="A1484" s="100"/>
      <c r="C1484" s="101"/>
    </row>
    <row r="1485">
      <c r="A1485" s="100"/>
      <c r="C1485" s="101"/>
    </row>
    <row r="1486">
      <c r="A1486" s="100"/>
      <c r="C1486" s="101"/>
    </row>
    <row r="1487">
      <c r="A1487" s="100"/>
      <c r="C1487" s="101"/>
    </row>
    <row r="1488">
      <c r="A1488" s="100"/>
      <c r="C1488" s="101"/>
    </row>
    <row r="1489">
      <c r="A1489" s="100"/>
      <c r="C1489" s="101"/>
    </row>
    <row r="1490">
      <c r="A1490" s="100"/>
      <c r="C1490" s="101"/>
    </row>
    <row r="1491">
      <c r="A1491" s="100"/>
      <c r="C1491" s="101"/>
    </row>
    <row r="1492">
      <c r="A1492" s="100"/>
      <c r="C1492" s="101"/>
    </row>
    <row r="1493">
      <c r="A1493" s="100"/>
      <c r="C1493" s="101"/>
    </row>
    <row r="1494">
      <c r="A1494" s="100"/>
      <c r="C1494" s="101"/>
    </row>
    <row r="1495">
      <c r="A1495" s="100"/>
      <c r="C1495" s="101"/>
    </row>
    <row r="1496">
      <c r="A1496" s="100"/>
      <c r="C1496" s="101"/>
    </row>
    <row r="1497">
      <c r="A1497" s="100"/>
      <c r="C1497" s="101"/>
    </row>
    <row r="1498">
      <c r="A1498" s="100"/>
      <c r="C1498" s="101"/>
    </row>
    <row r="1499">
      <c r="A1499" s="100"/>
      <c r="C1499" s="101"/>
    </row>
    <row r="1500">
      <c r="A1500" s="100"/>
      <c r="C1500" s="101"/>
    </row>
    <row r="1501">
      <c r="A1501" s="100"/>
      <c r="C1501" s="101"/>
    </row>
    <row r="1502">
      <c r="A1502" s="100"/>
      <c r="C1502" s="101"/>
    </row>
    <row r="1503">
      <c r="A1503" s="100"/>
      <c r="C1503" s="101"/>
    </row>
    <row r="1504">
      <c r="A1504" s="100"/>
      <c r="C1504" s="101"/>
    </row>
    <row r="1505">
      <c r="A1505" s="100"/>
      <c r="C1505" s="101"/>
    </row>
    <row r="1506">
      <c r="A1506" s="100"/>
      <c r="C1506" s="101"/>
    </row>
    <row r="1507">
      <c r="A1507" s="100"/>
      <c r="C1507" s="101"/>
    </row>
    <row r="1508">
      <c r="A1508" s="100"/>
      <c r="C1508" s="101"/>
    </row>
    <row r="1509">
      <c r="A1509" s="100"/>
      <c r="C1509" s="101"/>
    </row>
    <row r="1510">
      <c r="A1510" s="100"/>
      <c r="C1510" s="101"/>
    </row>
    <row r="1511">
      <c r="A1511" s="100"/>
      <c r="C1511" s="101"/>
    </row>
    <row r="1512">
      <c r="A1512" s="100"/>
      <c r="C1512" s="101"/>
    </row>
    <row r="1513">
      <c r="A1513" s="100"/>
      <c r="C1513" s="101"/>
    </row>
    <row r="1514">
      <c r="A1514" s="100"/>
      <c r="C1514" s="101"/>
    </row>
    <row r="1515">
      <c r="A1515" s="100"/>
      <c r="C1515" s="101"/>
    </row>
    <row r="1516">
      <c r="A1516" s="100"/>
      <c r="C1516" s="101"/>
    </row>
    <row r="1517">
      <c r="A1517" s="100"/>
      <c r="C1517" s="101"/>
    </row>
    <row r="1518">
      <c r="A1518" s="100"/>
      <c r="C1518" s="101"/>
    </row>
    <row r="1519">
      <c r="A1519" s="100"/>
      <c r="C1519" s="101"/>
    </row>
    <row r="1520">
      <c r="A1520" s="100"/>
      <c r="C1520" s="101"/>
    </row>
    <row r="1521">
      <c r="A1521" s="100"/>
      <c r="C1521" s="101"/>
    </row>
    <row r="1522">
      <c r="A1522" s="100"/>
      <c r="C1522" s="101"/>
    </row>
    <row r="1523">
      <c r="A1523" s="100"/>
      <c r="C1523" s="101"/>
    </row>
    <row r="1524">
      <c r="A1524" s="100"/>
      <c r="C1524" s="101"/>
    </row>
    <row r="1525">
      <c r="A1525" s="100"/>
      <c r="C1525" s="101"/>
    </row>
    <row r="1526">
      <c r="A1526" s="100"/>
      <c r="C1526" s="101"/>
    </row>
    <row r="1527">
      <c r="A1527" s="100"/>
      <c r="C1527" s="101"/>
    </row>
    <row r="1528">
      <c r="A1528" s="100"/>
      <c r="C1528" s="101"/>
    </row>
    <row r="1529">
      <c r="A1529" s="100"/>
      <c r="C1529" s="101"/>
    </row>
    <row r="1530">
      <c r="A1530" s="100"/>
      <c r="C1530" s="101"/>
    </row>
    <row r="1531">
      <c r="A1531" s="100"/>
      <c r="C1531" s="101"/>
    </row>
    <row r="1532">
      <c r="A1532" s="100"/>
      <c r="C1532" s="101"/>
    </row>
    <row r="1533">
      <c r="A1533" s="100"/>
      <c r="C1533" s="101"/>
    </row>
    <row r="1534">
      <c r="A1534" s="100"/>
      <c r="C1534" s="101"/>
    </row>
    <row r="1535">
      <c r="A1535" s="100"/>
      <c r="C1535" s="101"/>
    </row>
    <row r="1536">
      <c r="A1536" s="100"/>
      <c r="C1536" s="101"/>
    </row>
    <row r="1537">
      <c r="A1537" s="100"/>
      <c r="C1537" s="101"/>
    </row>
    <row r="1538">
      <c r="A1538" s="100"/>
      <c r="C1538" s="101"/>
    </row>
    <row r="1539">
      <c r="A1539" s="100"/>
      <c r="C1539" s="101"/>
    </row>
    <row r="1540">
      <c r="A1540" s="100"/>
      <c r="C1540" s="101"/>
    </row>
    <row r="1541">
      <c r="A1541" s="100"/>
      <c r="C1541" s="101"/>
    </row>
    <row r="1542">
      <c r="A1542" s="100"/>
      <c r="C1542" s="101"/>
    </row>
    <row r="1543">
      <c r="A1543" s="100"/>
      <c r="C1543" s="101"/>
    </row>
    <row r="1544">
      <c r="A1544" s="100"/>
      <c r="C1544" s="101"/>
    </row>
    <row r="1545">
      <c r="A1545" s="100"/>
      <c r="C1545" s="101"/>
    </row>
    <row r="1546">
      <c r="A1546" s="100"/>
      <c r="C1546" s="101"/>
    </row>
    <row r="1547">
      <c r="A1547" s="100"/>
      <c r="C1547" s="101"/>
    </row>
    <row r="1548">
      <c r="A1548" s="100"/>
      <c r="C1548" s="101"/>
    </row>
    <row r="1549">
      <c r="A1549" s="100"/>
      <c r="C1549" s="101"/>
    </row>
    <row r="1550">
      <c r="A1550" s="100"/>
      <c r="C1550" s="101"/>
    </row>
    <row r="1551">
      <c r="A1551" s="100"/>
      <c r="C1551" s="101"/>
    </row>
    <row r="1552">
      <c r="A1552" s="100"/>
      <c r="C1552" s="101"/>
    </row>
    <row r="1553">
      <c r="A1553" s="100"/>
      <c r="C1553" s="101"/>
    </row>
    <row r="1554">
      <c r="A1554" s="100"/>
      <c r="C1554" s="101"/>
    </row>
    <row r="1555">
      <c r="A1555" s="100"/>
      <c r="C1555" s="101"/>
    </row>
    <row r="1556">
      <c r="A1556" s="100"/>
      <c r="C1556" s="101"/>
    </row>
    <row r="1557">
      <c r="A1557" s="100"/>
      <c r="C1557" s="101"/>
    </row>
    <row r="1558">
      <c r="A1558" s="100"/>
      <c r="C1558" s="101"/>
    </row>
    <row r="1559">
      <c r="A1559" s="100"/>
      <c r="C1559" s="101"/>
    </row>
    <row r="1560">
      <c r="A1560" s="100"/>
      <c r="C1560" s="101"/>
    </row>
    <row r="1561">
      <c r="A1561" s="100"/>
      <c r="C1561" s="101"/>
    </row>
    <row r="1562">
      <c r="A1562" s="100"/>
      <c r="C1562" s="101"/>
    </row>
    <row r="1563">
      <c r="A1563" s="100"/>
      <c r="C1563" s="101"/>
    </row>
  </sheetData>
  <mergeCells count="48">
    <mergeCell ref="A1:E1"/>
    <mergeCell ref="A7:E7"/>
    <mergeCell ref="A57:E57"/>
    <mergeCell ref="A88:E88"/>
    <mergeCell ref="A131:E131"/>
    <mergeCell ref="A133:A150"/>
    <mergeCell ref="A155:E155"/>
    <mergeCell ref="A151:A153"/>
    <mergeCell ref="A157:A176"/>
    <mergeCell ref="A177:A194"/>
    <mergeCell ref="A196:E196"/>
    <mergeCell ref="A198:A237"/>
    <mergeCell ref="A238:A276"/>
    <mergeCell ref="A278:E278"/>
    <mergeCell ref="A280:A377"/>
    <mergeCell ref="A378:A396"/>
    <mergeCell ref="A397:A439"/>
    <mergeCell ref="A440:A445"/>
    <mergeCell ref="A447:E447"/>
    <mergeCell ref="A449:A450"/>
    <mergeCell ref="A452:A475"/>
    <mergeCell ref="A476:A479"/>
    <mergeCell ref="A481:E481"/>
    <mergeCell ref="A483:A489"/>
    <mergeCell ref="A490:A493"/>
    <mergeCell ref="A494:A496"/>
    <mergeCell ref="A497:A501"/>
    <mergeCell ref="A502:A503"/>
    <mergeCell ref="A504:A505"/>
    <mergeCell ref="A506:A511"/>
    <mergeCell ref="A513:A514"/>
    <mergeCell ref="A516:A521"/>
    <mergeCell ref="A523:E523"/>
    <mergeCell ref="B524:E524"/>
    <mergeCell ref="B558:E558"/>
    <mergeCell ref="B726:E726"/>
    <mergeCell ref="B747:E747"/>
    <mergeCell ref="B814:E814"/>
    <mergeCell ref="B846:E846"/>
    <mergeCell ref="B1005:E1005"/>
    <mergeCell ref="B1107:E1107"/>
    <mergeCell ref="B598:E598"/>
    <mergeCell ref="B623:E623"/>
    <mergeCell ref="B648:E648"/>
    <mergeCell ref="B652:E652"/>
    <mergeCell ref="B673:E673"/>
    <mergeCell ref="B703:E703"/>
    <mergeCell ref="B719:E719"/>
  </mergeCells>
  <conditionalFormatting sqref="C1:D1563">
    <cfRule type="cellIs" dxfId="3" priority="1" operator="equal">
      <formula>"F"</formula>
    </cfRule>
  </conditionalFormatting>
  <conditionalFormatting sqref="C1:D1563">
    <cfRule type="cellIs" dxfId="4" priority="2" operator="equal">
      <formula>"E"</formula>
    </cfRule>
  </conditionalFormatting>
  <conditionalFormatting sqref="C1:D1563">
    <cfRule type="cellIs" dxfId="5" priority="3" operator="equal">
      <formula>"S"</formula>
    </cfRule>
  </conditionalFormatting>
  <conditionalFormatting sqref="C1:D1563">
    <cfRule type="cellIs" dxfId="6" priority="4" operator="equal">
      <formula>"B"</formula>
    </cfRule>
  </conditionalFormatting>
  <conditionalFormatting sqref="C1:D1563">
    <cfRule type="cellIs" dxfId="7" priority="5" operator="equal">
      <formula>"D"</formula>
    </cfRule>
  </conditionalFormatting>
  <conditionalFormatting sqref="C1:D1563">
    <cfRule type="cellIs" dxfId="8" priority="6" operator="equal">
      <formula>"C"</formula>
    </cfRule>
  </conditionalFormatting>
  <conditionalFormatting sqref="C1:D1563">
    <cfRule type="cellIs" dxfId="9" priority="7" operator="equal">
      <formula>"A"</formula>
    </cfRule>
  </conditionalFormatting>
  <conditionalFormatting sqref="C1:D1563">
    <cfRule type="cellIs" dxfId="10" priority="8" operator="equal">
      <formula>"G"</formula>
    </cfRule>
  </conditionalFormatting>
  <conditionalFormatting sqref="C1:D1563">
    <cfRule type="cellIs" dxfId="11" priority="9" operator="equal">
      <formula>"H"</formula>
    </cfRule>
  </conditionalFormatting>
  <hyperlinks>
    <hyperlink display="Advanced Reflexes" location="'Origin Traits'!A1" ref="B3"/>
    <hyperlink display="Gun and Run" location="'Origin Traits'!A1" ref="B4"/>
    <hyperlink display="Superluminal Motion" location="'Set Bonuses'!A1" ref="B5"/>
    <hyperlink display="The Martlet" location="Pulses!A1" ref="B9"/>
    <hyperlink display="Corundum Hammer" location="HCs!A1" ref="B10"/>
    <hyperlink display="The Immortal" location="SMGs!A1" ref="B11"/>
    <hyperlink display="Cataphract GL3" location="HGLs!A1" ref="B12"/>
    <hyperlink display="Astral Horizon" location="Shotguns!A1" ref="B13"/>
    <hyperlink display="Refurbished A499" location="Other!A1" ref="B14"/>
    <hyperlink display="Something Something" location="Snipers!A1" ref="B15"/>
    <hyperlink display="Peculiar Charm" location="SMGs!A1" ref="B16"/>
    <hyperlink display="Horror's Least" location="Pulses!A1" ref="B17"/>
    <hyperlink display="Motif-41" location="BGLs!A1" ref="B18"/>
    <hyperlink display="Evening SI4" location="Sidearms!A1" ref="B19"/>
    <hyperlink display="Psi Aeterna IV" location="Other!A1" ref="B20"/>
    <hyperlink display="Qua Vinctus IV" location="LMGs!A1" ref="B21"/>
    <hyperlink display="A Good Shout" location="Other!A1" ref="B22"/>
    <hyperlink display="Sarpedon-D" location="HCs!A1" ref="B23"/>
    <hyperlink display="Phoneutria Fera" location="HCs!A1" ref="B24"/>
    <hyperlink display="Hawthorne's Field-Forged Shotgun" location="Shotguns!A1" ref="B25"/>
    <hyperlink display="Nox Sidereal IV" location="Fusions!A1" ref="B26"/>
    <hyperlink display="Mos Athanor IV" location="HCs!A1" ref="B27"/>
    <hyperlink display="Compact Defender" location="Sidearms!A1" ref="B28"/>
    <hyperlink display="Uncivil Discourse" location="Other!A1" ref="B29"/>
    <hyperlink display="M-17 &quot;Fast Talker&quot;" location="SMGs!A1" ref="B30"/>
    <hyperlink r:id="rId1" ref="B31"/>
    <hyperlink display="All or Nothing" location="Pulses!A1" ref="B32"/>
    <hyperlink display="Zealous Ideal" location="Autos!A1" ref="B33"/>
    <hyperlink display="Bitter End" location="LMGs!A1" ref="B34"/>
    <hyperlink display="High Tyrant" location="Pulses!A1" ref="B35"/>
    <hyperlink display="Voltaic Shade" location="Scouts!A1" ref="B36"/>
    <hyperlink display="Conspiracy Honed" location="Snipers!A1" ref="B37"/>
    <hyperlink display="Sullen Claw" location="Swords!A1" ref="B38"/>
    <hyperlink display="Eighty-Six" location="Swords!A1" ref="B39"/>
    <hyperlink display="Monody-44" location="Fusions!A1" ref="B40"/>
    <hyperlink display="Riptide" location="Fusions!A1" ref="B41"/>
    <hyperlink display="Oxygen SR3" location="Scouts!A1" ref="B42"/>
    <hyperlink display="Duty Bound" location="Autos!A1" ref="B43"/>
    <hyperlink display="Gizmo Weft" location="BGLs!A1" ref="B44"/>
    <hyperlink display="Permafrost" location="BGLs!A1" ref="B45"/>
    <hyperlink display="Action Item" location="Traces!A1" ref="B46"/>
    <hyperlink display="Reghusk's Pledge" location="Pulses!A1" ref="B47"/>
    <hyperlink display="King Orfeo" location="Bows!A1" ref="B48"/>
    <hyperlink display="The Heron" location="Glaives!A1" ref="B49"/>
    <hyperlink display="Fimbulwinter Stitch" location="Sidearms!A1" ref="B50"/>
    <hyperlink display="Mistral Lift" location="LFRs!A1" ref="B51"/>
    <hyperlink display="Micromort" location="Rockets!A1" ref="B52"/>
    <hyperlink display="Cusp Sempiternal" location="Autos!A1" ref="B53"/>
    <hyperlink display="Haliaetus" location="Rockets!A1" ref="B5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EFE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6.38"/>
    <col customWidth="1" min="3" max="3" width="18.75"/>
    <col customWidth="1" min="4" max="4" width="10.5"/>
    <col customWidth="1" min="5" max="5" width="4.38"/>
    <col customWidth="1" min="6" max="6" width="10.5"/>
    <col customWidth="1" min="7" max="8" width="19.88"/>
    <col customWidth="1" min="9" max="9" width="19.5"/>
  </cols>
  <sheetData>
    <row r="1" ht="22.5" customHeight="1">
      <c r="A1" s="11" t="s">
        <v>61</v>
      </c>
      <c r="B1" s="126" t="s">
        <v>1781</v>
      </c>
      <c r="C1" s="11" t="s">
        <v>54</v>
      </c>
      <c r="D1" s="11" t="s">
        <v>1782</v>
      </c>
      <c r="E1" s="127" t="s">
        <v>1783</v>
      </c>
      <c r="F1" s="127" t="s">
        <v>1784</v>
      </c>
      <c r="G1" s="11" t="s">
        <v>1785</v>
      </c>
      <c r="H1" s="11" t="s">
        <v>1786</v>
      </c>
      <c r="I1" s="11" t="s">
        <v>1787</v>
      </c>
    </row>
    <row r="2" ht="37.5" customHeight="1">
      <c r="A2" s="128" t="s">
        <v>1788</v>
      </c>
      <c r="B2" s="128"/>
      <c r="C2" s="128" t="s">
        <v>440</v>
      </c>
      <c r="D2" s="128" t="s">
        <v>429</v>
      </c>
      <c r="E2" s="128">
        <f t="shared" ref="E2:E9" si="1">IFS(F2="niche",4,F2="low",3,F2="medium",2,F2="high",1)</f>
        <v>1</v>
      </c>
      <c r="F2" s="128" t="s">
        <v>752</v>
      </c>
      <c r="G2" s="128" t="s">
        <v>1641</v>
      </c>
      <c r="H2" s="128" t="s">
        <v>560</v>
      </c>
      <c r="I2" s="128" t="s">
        <v>75</v>
      </c>
    </row>
    <row r="3" ht="37.5" customHeight="1">
      <c r="A3" s="128" t="s">
        <v>1789</v>
      </c>
      <c r="B3" s="128"/>
      <c r="C3" s="128" t="s">
        <v>469</v>
      </c>
      <c r="D3" s="128" t="s">
        <v>429</v>
      </c>
      <c r="E3" s="128">
        <f t="shared" si="1"/>
        <v>1</v>
      </c>
      <c r="F3" s="128" t="s">
        <v>752</v>
      </c>
      <c r="G3" s="128" t="s">
        <v>1790</v>
      </c>
      <c r="H3" s="128" t="s">
        <v>1551</v>
      </c>
      <c r="I3" s="128" t="s">
        <v>1791</v>
      </c>
    </row>
    <row r="4" ht="37.5" customHeight="1">
      <c r="A4" s="128" t="s">
        <v>1792</v>
      </c>
      <c r="B4" s="13"/>
      <c r="C4" s="128" t="s">
        <v>453</v>
      </c>
      <c r="D4" s="128" t="s">
        <v>1793</v>
      </c>
      <c r="E4" s="128">
        <f t="shared" si="1"/>
        <v>1</v>
      </c>
      <c r="F4" s="128" t="s">
        <v>752</v>
      </c>
      <c r="G4" s="128" t="s">
        <v>1794</v>
      </c>
      <c r="H4" s="128" t="s">
        <v>722</v>
      </c>
      <c r="I4" s="128" t="s">
        <v>75</v>
      </c>
    </row>
    <row r="5" ht="37.5" customHeight="1">
      <c r="A5" s="128" t="s">
        <v>1795</v>
      </c>
      <c r="B5" s="13"/>
      <c r="C5" s="128" t="s">
        <v>635</v>
      </c>
      <c r="D5" s="128" t="s">
        <v>1796</v>
      </c>
      <c r="E5" s="128">
        <f t="shared" si="1"/>
        <v>1</v>
      </c>
      <c r="F5" s="128" t="s">
        <v>752</v>
      </c>
      <c r="G5" s="128" t="s">
        <v>1797</v>
      </c>
      <c r="H5" s="128" t="s">
        <v>1798</v>
      </c>
      <c r="I5" s="128" t="s">
        <v>1799</v>
      </c>
    </row>
    <row r="6" ht="37.5" customHeight="1">
      <c r="A6" s="128" t="s">
        <v>1800</v>
      </c>
      <c r="B6" s="129"/>
      <c r="C6" s="128" t="s">
        <v>1134</v>
      </c>
      <c r="D6" s="128" t="s">
        <v>1801</v>
      </c>
      <c r="E6" s="128">
        <f t="shared" si="1"/>
        <v>1</v>
      </c>
      <c r="F6" s="128" t="s">
        <v>752</v>
      </c>
      <c r="G6" s="128" t="s">
        <v>12</v>
      </c>
      <c r="H6" s="128" t="s">
        <v>12</v>
      </c>
      <c r="I6" s="128" t="s">
        <v>1802</v>
      </c>
    </row>
    <row r="7" ht="37.5" customHeight="1">
      <c r="A7" s="128" t="s">
        <v>1803</v>
      </c>
      <c r="B7" s="129"/>
      <c r="C7" s="128" t="s">
        <v>1156</v>
      </c>
      <c r="D7" s="128" t="s">
        <v>1804</v>
      </c>
      <c r="E7" s="128">
        <f t="shared" si="1"/>
        <v>1</v>
      </c>
      <c r="F7" s="128" t="s">
        <v>752</v>
      </c>
      <c r="G7" s="128" t="s">
        <v>12</v>
      </c>
      <c r="H7" s="128" t="s">
        <v>12</v>
      </c>
      <c r="I7" s="128" t="s">
        <v>1485</v>
      </c>
    </row>
    <row r="8" ht="37.5" customHeight="1">
      <c r="A8" s="128" t="s">
        <v>1805</v>
      </c>
      <c r="B8" s="129"/>
      <c r="C8" s="128" t="s">
        <v>849</v>
      </c>
      <c r="D8" s="128" t="s">
        <v>1801</v>
      </c>
      <c r="E8" s="128">
        <f t="shared" si="1"/>
        <v>1</v>
      </c>
      <c r="F8" s="128" t="s">
        <v>752</v>
      </c>
      <c r="G8" s="128" t="s">
        <v>1806</v>
      </c>
      <c r="H8" s="128" t="s">
        <v>12</v>
      </c>
      <c r="I8" s="128" t="s">
        <v>1807</v>
      </c>
    </row>
    <row r="9" ht="37.5" customHeight="1">
      <c r="A9" s="128" t="s">
        <v>1808</v>
      </c>
      <c r="B9" s="130"/>
      <c r="C9" s="128" t="s">
        <v>707</v>
      </c>
      <c r="D9" s="128" t="s">
        <v>695</v>
      </c>
      <c r="E9" s="128">
        <f t="shared" si="1"/>
        <v>1</v>
      </c>
      <c r="F9" s="128" t="s">
        <v>752</v>
      </c>
      <c r="G9" s="128" t="s">
        <v>12</v>
      </c>
      <c r="H9" s="128" t="s">
        <v>12</v>
      </c>
      <c r="I9" s="128" t="s">
        <v>1809</v>
      </c>
    </row>
    <row r="10" ht="37.5" customHeight="1">
      <c r="A10" s="128" t="s">
        <v>1810</v>
      </c>
      <c r="B10" s="129"/>
      <c r="C10" s="128" t="s">
        <v>1148</v>
      </c>
      <c r="D10" s="128" t="s">
        <v>1811</v>
      </c>
      <c r="E10" s="128">
        <v>1.0</v>
      </c>
      <c r="F10" s="128" t="s">
        <v>752</v>
      </c>
      <c r="G10" s="128" t="s">
        <v>12</v>
      </c>
      <c r="H10" s="128" t="s">
        <v>12</v>
      </c>
      <c r="I10" s="128" t="s">
        <v>75</v>
      </c>
    </row>
    <row r="11" ht="37.5" customHeight="1">
      <c r="A11" s="128" t="s">
        <v>1812</v>
      </c>
      <c r="B11" s="13"/>
      <c r="C11" s="128" t="s">
        <v>1813</v>
      </c>
      <c r="D11" s="128" t="s">
        <v>1814</v>
      </c>
      <c r="E11" s="128">
        <f t="shared" ref="E11:E54" si="2">IFS(F11="niche",4,F11="low",3,F11="medium",2,F11="high",1)</f>
        <v>1</v>
      </c>
      <c r="F11" s="128" t="s">
        <v>752</v>
      </c>
      <c r="G11" s="128" t="s">
        <v>1815</v>
      </c>
      <c r="H11" s="128" t="s">
        <v>1816</v>
      </c>
      <c r="I11" s="128" t="s">
        <v>75</v>
      </c>
    </row>
    <row r="12" ht="37.5" customHeight="1">
      <c r="A12" s="128" t="s">
        <v>1817</v>
      </c>
      <c r="B12" s="13"/>
      <c r="C12" s="128" t="s">
        <v>497</v>
      </c>
      <c r="D12" s="128" t="s">
        <v>1818</v>
      </c>
      <c r="E12" s="128">
        <f t="shared" si="2"/>
        <v>1</v>
      </c>
      <c r="F12" s="128" t="s">
        <v>752</v>
      </c>
      <c r="G12" s="128" t="s">
        <v>1819</v>
      </c>
      <c r="H12" s="128" t="s">
        <v>1820</v>
      </c>
      <c r="I12" s="128" t="s">
        <v>1821</v>
      </c>
    </row>
    <row r="13" ht="37.5" customHeight="1">
      <c r="A13" s="128" t="s">
        <v>1822</v>
      </c>
      <c r="B13" s="13"/>
      <c r="C13" s="128" t="s">
        <v>486</v>
      </c>
      <c r="D13" s="128" t="s">
        <v>1823</v>
      </c>
      <c r="E13" s="128">
        <f t="shared" si="2"/>
        <v>1</v>
      </c>
      <c r="F13" s="128" t="s">
        <v>752</v>
      </c>
      <c r="G13" s="128" t="s">
        <v>1824</v>
      </c>
      <c r="H13" s="128" t="s">
        <v>1825</v>
      </c>
      <c r="I13" s="128" t="s">
        <v>1826</v>
      </c>
    </row>
    <row r="14" ht="37.5" customHeight="1">
      <c r="A14" s="128" t="s">
        <v>1827</v>
      </c>
      <c r="B14" s="13"/>
      <c r="C14" s="128" t="s">
        <v>1178</v>
      </c>
      <c r="D14" s="128" t="s">
        <v>1828</v>
      </c>
      <c r="E14" s="128">
        <f t="shared" si="2"/>
        <v>2</v>
      </c>
      <c r="F14" s="128" t="s">
        <v>1829</v>
      </c>
      <c r="G14" s="128" t="s">
        <v>1830</v>
      </c>
      <c r="H14" s="128" t="s">
        <v>1831</v>
      </c>
      <c r="I14" s="128" t="s">
        <v>1832</v>
      </c>
    </row>
    <row r="15" ht="37.5" customHeight="1">
      <c r="A15" s="128" t="s">
        <v>1833</v>
      </c>
      <c r="B15" s="13"/>
      <c r="C15" s="128" t="s">
        <v>449</v>
      </c>
      <c r="D15" s="128" t="s">
        <v>1793</v>
      </c>
      <c r="E15" s="128">
        <f t="shared" si="2"/>
        <v>2</v>
      </c>
      <c r="F15" s="128" t="s">
        <v>1829</v>
      </c>
      <c r="G15" s="128" t="s">
        <v>85</v>
      </c>
      <c r="H15" s="128" t="s">
        <v>1834</v>
      </c>
      <c r="I15" s="128" t="s">
        <v>1835</v>
      </c>
    </row>
    <row r="16" ht="37.5" customHeight="1">
      <c r="A16" s="128" t="s">
        <v>1836</v>
      </c>
      <c r="B16" s="128"/>
      <c r="C16" s="128" t="s">
        <v>456</v>
      </c>
      <c r="D16" s="128" t="s">
        <v>1814</v>
      </c>
      <c r="E16" s="128">
        <f t="shared" si="2"/>
        <v>2</v>
      </c>
      <c r="F16" s="128" t="s">
        <v>1829</v>
      </c>
      <c r="G16" s="128" t="s">
        <v>962</v>
      </c>
      <c r="H16" s="128" t="s">
        <v>243</v>
      </c>
      <c r="I16" s="128" t="s">
        <v>1837</v>
      </c>
    </row>
    <row r="17" ht="37.5" customHeight="1">
      <c r="A17" s="128" t="s">
        <v>1838</v>
      </c>
      <c r="B17" s="13"/>
      <c r="C17" s="128" t="s">
        <v>649</v>
      </c>
      <c r="D17" s="128" t="s">
        <v>1839</v>
      </c>
      <c r="E17" s="128">
        <f t="shared" si="2"/>
        <v>2</v>
      </c>
      <c r="F17" s="128" t="s">
        <v>1829</v>
      </c>
      <c r="G17" s="128" t="s">
        <v>1840</v>
      </c>
      <c r="H17" s="128" t="s">
        <v>1841</v>
      </c>
      <c r="I17" s="128" t="s">
        <v>1842</v>
      </c>
    </row>
    <row r="18" ht="37.5" customHeight="1">
      <c r="A18" s="128" t="s">
        <v>1843</v>
      </c>
      <c r="B18" s="13"/>
      <c r="C18" s="128" t="s">
        <v>72</v>
      </c>
      <c r="D18" s="128" t="s">
        <v>1844</v>
      </c>
      <c r="E18" s="128">
        <f t="shared" si="2"/>
        <v>2</v>
      </c>
      <c r="F18" s="128" t="s">
        <v>1829</v>
      </c>
      <c r="G18" s="14" t="s">
        <v>1845</v>
      </c>
      <c r="H18" s="14" t="s">
        <v>1846</v>
      </c>
      <c r="I18" s="14" t="s">
        <v>1847</v>
      </c>
    </row>
    <row r="19" ht="37.5" customHeight="1">
      <c r="A19" s="128" t="s">
        <v>1848</v>
      </c>
      <c r="B19" s="13"/>
      <c r="C19" s="128" t="s">
        <v>611</v>
      </c>
      <c r="D19" s="128" t="s">
        <v>1849</v>
      </c>
      <c r="E19" s="128">
        <f t="shared" si="2"/>
        <v>2</v>
      </c>
      <c r="F19" s="128" t="s">
        <v>1829</v>
      </c>
      <c r="G19" s="128" t="s">
        <v>898</v>
      </c>
      <c r="H19" s="128" t="s">
        <v>1850</v>
      </c>
      <c r="I19" s="128" t="s">
        <v>542</v>
      </c>
    </row>
    <row r="20" ht="37.5" customHeight="1">
      <c r="A20" s="128" t="s">
        <v>1851</v>
      </c>
      <c r="B20" s="129"/>
      <c r="C20" s="128" t="s">
        <v>1852</v>
      </c>
      <c r="D20" s="128" t="s">
        <v>1853</v>
      </c>
      <c r="E20" s="128">
        <f t="shared" si="2"/>
        <v>2</v>
      </c>
      <c r="F20" s="128" t="s">
        <v>1829</v>
      </c>
      <c r="G20" s="128" t="s">
        <v>210</v>
      </c>
      <c r="H20" s="128" t="s">
        <v>968</v>
      </c>
      <c r="I20" s="128" t="s">
        <v>1854</v>
      </c>
    </row>
    <row r="21" ht="37.5" customHeight="1">
      <c r="A21" s="128" t="s">
        <v>1855</v>
      </c>
      <c r="B21" s="13"/>
      <c r="C21" s="128" t="s">
        <v>705</v>
      </c>
      <c r="D21" s="128" t="s">
        <v>1856</v>
      </c>
      <c r="E21" s="128">
        <f t="shared" si="2"/>
        <v>2</v>
      </c>
      <c r="F21" s="128" t="s">
        <v>1829</v>
      </c>
      <c r="G21" s="128" t="s">
        <v>1857</v>
      </c>
      <c r="H21" s="128" t="s">
        <v>1858</v>
      </c>
      <c r="I21" s="128" t="s">
        <v>1859</v>
      </c>
    </row>
    <row r="22" ht="37.5" customHeight="1">
      <c r="A22" s="128" t="s">
        <v>1860</v>
      </c>
      <c r="B22" s="129"/>
      <c r="C22" s="128" t="s">
        <v>1113</v>
      </c>
      <c r="D22" s="128" t="s">
        <v>1801</v>
      </c>
      <c r="E22" s="128">
        <f t="shared" si="2"/>
        <v>2</v>
      </c>
      <c r="F22" s="128" t="s">
        <v>1829</v>
      </c>
      <c r="G22" s="128" t="s">
        <v>12</v>
      </c>
      <c r="H22" s="128" t="s">
        <v>12</v>
      </c>
      <c r="I22" s="128" t="s">
        <v>1861</v>
      </c>
    </row>
    <row r="23" ht="37.5" customHeight="1">
      <c r="A23" s="128" t="s">
        <v>1862</v>
      </c>
      <c r="B23" s="129"/>
      <c r="C23" s="128" t="s">
        <v>1115</v>
      </c>
      <c r="D23" s="128" t="s">
        <v>1804</v>
      </c>
      <c r="E23" s="128">
        <f t="shared" si="2"/>
        <v>2</v>
      </c>
      <c r="F23" s="128" t="s">
        <v>1829</v>
      </c>
      <c r="G23" s="128" t="s">
        <v>12</v>
      </c>
      <c r="H23" s="128" t="s">
        <v>12</v>
      </c>
      <c r="I23" s="14" t="s">
        <v>1863</v>
      </c>
    </row>
    <row r="24" ht="37.5" customHeight="1">
      <c r="A24" s="128" t="s">
        <v>1864</v>
      </c>
      <c r="B24" s="13"/>
      <c r="C24" s="128" t="s">
        <v>1277</v>
      </c>
      <c r="D24" s="128" t="s">
        <v>1274</v>
      </c>
      <c r="E24" s="128">
        <f t="shared" si="2"/>
        <v>2</v>
      </c>
      <c r="F24" s="128" t="s">
        <v>1829</v>
      </c>
      <c r="G24" s="14" t="s">
        <v>1865</v>
      </c>
      <c r="H24" s="14" t="s">
        <v>1866</v>
      </c>
      <c r="I24" s="14" t="s">
        <v>1867</v>
      </c>
    </row>
    <row r="25" ht="37.5" customHeight="1">
      <c r="A25" s="128" t="s">
        <v>1868</v>
      </c>
      <c r="B25" s="128"/>
      <c r="C25" s="128" t="s">
        <v>484</v>
      </c>
      <c r="D25" s="128" t="s">
        <v>1823</v>
      </c>
      <c r="E25" s="128">
        <f t="shared" si="2"/>
        <v>2</v>
      </c>
      <c r="F25" s="128" t="s">
        <v>1829</v>
      </c>
      <c r="G25" s="128" t="s">
        <v>141</v>
      </c>
      <c r="H25" s="128" t="s">
        <v>1869</v>
      </c>
      <c r="I25" s="128" t="s">
        <v>1870</v>
      </c>
    </row>
    <row r="26" ht="37.5" customHeight="1">
      <c r="A26" s="128" t="s">
        <v>1871</v>
      </c>
      <c r="B26" s="13"/>
      <c r="C26" s="128" t="s">
        <v>690</v>
      </c>
      <c r="D26" s="128" t="s">
        <v>1872</v>
      </c>
      <c r="E26" s="128">
        <f t="shared" si="2"/>
        <v>2</v>
      </c>
      <c r="F26" s="128" t="s">
        <v>1829</v>
      </c>
      <c r="G26" s="128" t="s">
        <v>898</v>
      </c>
      <c r="H26" s="128" t="s">
        <v>1653</v>
      </c>
      <c r="I26" s="128" t="s">
        <v>1873</v>
      </c>
    </row>
    <row r="27" ht="37.5" customHeight="1">
      <c r="A27" s="128" t="s">
        <v>1874</v>
      </c>
      <c r="B27" s="13"/>
      <c r="C27" s="128" t="s">
        <v>767</v>
      </c>
      <c r="D27" s="128" t="s">
        <v>1872</v>
      </c>
      <c r="E27" s="128">
        <f t="shared" si="2"/>
        <v>2</v>
      </c>
      <c r="F27" s="128" t="s">
        <v>1829</v>
      </c>
      <c r="G27" s="128" t="s">
        <v>1875</v>
      </c>
      <c r="H27" s="128" t="s">
        <v>1876</v>
      </c>
      <c r="I27" s="128" t="s">
        <v>1877</v>
      </c>
    </row>
    <row r="28" ht="37.5" customHeight="1">
      <c r="A28" s="128" t="s">
        <v>1878</v>
      </c>
      <c r="B28" s="129"/>
      <c r="C28" s="128" t="s">
        <v>433</v>
      </c>
      <c r="D28" s="128" t="s">
        <v>1879</v>
      </c>
      <c r="E28" s="128">
        <f t="shared" si="2"/>
        <v>2</v>
      </c>
      <c r="F28" s="128" t="s">
        <v>1829</v>
      </c>
      <c r="G28" s="128" t="s">
        <v>1880</v>
      </c>
      <c r="H28" s="128" t="s">
        <v>1881</v>
      </c>
      <c r="I28" s="128" t="s">
        <v>1882</v>
      </c>
    </row>
    <row r="29" ht="37.5" customHeight="1">
      <c r="A29" s="128" t="s">
        <v>1883</v>
      </c>
      <c r="B29" s="13"/>
      <c r="C29" s="128" t="s">
        <v>701</v>
      </c>
      <c r="D29" s="128" t="s">
        <v>695</v>
      </c>
      <c r="E29" s="128">
        <f t="shared" si="2"/>
        <v>2</v>
      </c>
      <c r="F29" s="128" t="s">
        <v>1829</v>
      </c>
      <c r="G29" s="128" t="s">
        <v>1884</v>
      </c>
      <c r="H29" s="128" t="s">
        <v>1885</v>
      </c>
      <c r="I29" s="128" t="s">
        <v>1886</v>
      </c>
    </row>
    <row r="30" ht="37.5" customHeight="1">
      <c r="A30" s="128" t="s">
        <v>1887</v>
      </c>
      <c r="B30" s="128"/>
      <c r="C30" s="128" t="s">
        <v>780</v>
      </c>
      <c r="D30" s="128" t="s">
        <v>1274</v>
      </c>
      <c r="E30" s="128">
        <f t="shared" si="2"/>
        <v>2</v>
      </c>
      <c r="F30" s="128" t="s">
        <v>1829</v>
      </c>
      <c r="G30" s="14" t="s">
        <v>210</v>
      </c>
      <c r="H30" s="14" t="s">
        <v>1888</v>
      </c>
      <c r="I30" s="128" t="s">
        <v>205</v>
      </c>
    </row>
    <row r="31" ht="37.5" customHeight="1">
      <c r="A31" s="128" t="s">
        <v>1889</v>
      </c>
      <c r="B31" s="13"/>
      <c r="C31" s="128" t="s">
        <v>769</v>
      </c>
      <c r="D31" s="128" t="s">
        <v>1890</v>
      </c>
      <c r="E31" s="128">
        <f t="shared" si="2"/>
        <v>2</v>
      </c>
      <c r="F31" s="128" t="s">
        <v>1829</v>
      </c>
      <c r="G31" s="128" t="s">
        <v>1891</v>
      </c>
      <c r="H31" s="128" t="s">
        <v>900</v>
      </c>
      <c r="I31" s="14" t="s">
        <v>1892</v>
      </c>
    </row>
    <row r="32" ht="37.5" customHeight="1">
      <c r="A32" s="128" t="s">
        <v>1893</v>
      </c>
      <c r="B32" s="13"/>
      <c r="C32" s="128" t="s">
        <v>750</v>
      </c>
      <c r="D32" s="128" t="s">
        <v>1894</v>
      </c>
      <c r="E32" s="128">
        <f t="shared" si="2"/>
        <v>2</v>
      </c>
      <c r="F32" s="128" t="s">
        <v>1829</v>
      </c>
      <c r="G32" s="128" t="s">
        <v>1010</v>
      </c>
      <c r="H32" s="128" t="s">
        <v>1895</v>
      </c>
      <c r="I32" s="128" t="s">
        <v>1896</v>
      </c>
    </row>
    <row r="33" ht="37.5" customHeight="1">
      <c r="A33" s="128" t="s">
        <v>1897</v>
      </c>
      <c r="B33" s="13"/>
      <c r="C33" s="128" t="s">
        <v>601</v>
      </c>
      <c r="D33" s="128" t="s">
        <v>1879</v>
      </c>
      <c r="E33" s="128">
        <f t="shared" si="2"/>
        <v>2</v>
      </c>
      <c r="F33" s="128" t="s">
        <v>1829</v>
      </c>
      <c r="G33" s="128" t="s">
        <v>210</v>
      </c>
      <c r="H33" s="128" t="s">
        <v>1053</v>
      </c>
      <c r="I33" s="128" t="s">
        <v>1898</v>
      </c>
    </row>
    <row r="34" ht="37.5" customHeight="1">
      <c r="A34" s="128" t="s">
        <v>1899</v>
      </c>
      <c r="B34" s="129"/>
      <c r="C34" s="128" t="s">
        <v>556</v>
      </c>
      <c r="D34" s="128" t="s">
        <v>1900</v>
      </c>
      <c r="E34" s="128">
        <f t="shared" si="2"/>
        <v>3</v>
      </c>
      <c r="F34" s="128" t="s">
        <v>760</v>
      </c>
      <c r="G34" s="128" t="s">
        <v>183</v>
      </c>
      <c r="H34" s="128" t="s">
        <v>12</v>
      </c>
      <c r="I34" s="128" t="s">
        <v>1901</v>
      </c>
    </row>
    <row r="35" ht="37.5" customHeight="1">
      <c r="A35" s="128" t="s">
        <v>1902</v>
      </c>
      <c r="B35" s="128"/>
      <c r="C35" s="128" t="s">
        <v>763</v>
      </c>
      <c r="D35" s="128" t="s">
        <v>1903</v>
      </c>
      <c r="E35" s="128">
        <f t="shared" si="2"/>
        <v>3</v>
      </c>
      <c r="F35" s="128" t="s">
        <v>760</v>
      </c>
      <c r="G35" s="128" t="s">
        <v>1904</v>
      </c>
      <c r="H35" s="128" t="s">
        <v>1905</v>
      </c>
      <c r="I35" s="14" t="s">
        <v>1906</v>
      </c>
    </row>
    <row r="36" ht="37.5" customHeight="1">
      <c r="A36" s="128" t="s">
        <v>1907</v>
      </c>
      <c r="B36" s="13"/>
      <c r="C36" s="128" t="s">
        <v>1908</v>
      </c>
      <c r="D36" s="128" t="s">
        <v>1856</v>
      </c>
      <c r="E36" s="128">
        <f t="shared" si="2"/>
        <v>3</v>
      </c>
      <c r="F36" s="128" t="s">
        <v>760</v>
      </c>
      <c r="G36" s="128" t="s">
        <v>1909</v>
      </c>
      <c r="H36" s="128" t="s">
        <v>1910</v>
      </c>
      <c r="I36" s="128" t="s">
        <v>1911</v>
      </c>
    </row>
    <row r="37" ht="37.5" customHeight="1">
      <c r="A37" s="128" t="s">
        <v>1912</v>
      </c>
      <c r="B37" s="13"/>
      <c r="C37" s="128" t="s">
        <v>625</v>
      </c>
      <c r="D37" s="128" t="s">
        <v>1796</v>
      </c>
      <c r="E37" s="128">
        <f t="shared" si="2"/>
        <v>3</v>
      </c>
      <c r="F37" s="128" t="s">
        <v>760</v>
      </c>
      <c r="G37" s="14" t="s">
        <v>1913</v>
      </c>
      <c r="H37" s="14" t="s">
        <v>1869</v>
      </c>
      <c r="I37" s="14" t="s">
        <v>1914</v>
      </c>
    </row>
    <row r="38" ht="37.5" customHeight="1">
      <c r="A38" s="128" t="s">
        <v>1915</v>
      </c>
      <c r="B38" s="13"/>
      <c r="C38" s="128" t="s">
        <v>1318</v>
      </c>
      <c r="D38" s="128" t="s">
        <v>1916</v>
      </c>
      <c r="E38" s="128">
        <f t="shared" si="2"/>
        <v>3</v>
      </c>
      <c r="F38" s="128" t="s">
        <v>760</v>
      </c>
      <c r="G38" s="128" t="s">
        <v>1917</v>
      </c>
      <c r="H38" s="128" t="s">
        <v>1918</v>
      </c>
      <c r="I38" s="128" t="s">
        <v>1919</v>
      </c>
    </row>
    <row r="39" ht="37.5" customHeight="1">
      <c r="A39" s="128" t="s">
        <v>1920</v>
      </c>
      <c r="B39" s="129"/>
      <c r="C39" s="128" t="s">
        <v>1144</v>
      </c>
      <c r="D39" s="128" t="s">
        <v>1921</v>
      </c>
      <c r="E39" s="128">
        <f t="shared" si="2"/>
        <v>3</v>
      </c>
      <c r="F39" s="128" t="s">
        <v>760</v>
      </c>
      <c r="G39" s="128" t="s">
        <v>12</v>
      </c>
      <c r="H39" s="128" t="s">
        <v>12</v>
      </c>
      <c r="I39" s="128" t="s">
        <v>1922</v>
      </c>
    </row>
    <row r="40" ht="37.5" customHeight="1">
      <c r="A40" s="128" t="s">
        <v>1923</v>
      </c>
      <c r="B40" s="13"/>
      <c r="C40" s="128" t="s">
        <v>884</v>
      </c>
      <c r="D40" s="128" t="s">
        <v>1924</v>
      </c>
      <c r="E40" s="128">
        <f t="shared" si="2"/>
        <v>3</v>
      </c>
      <c r="F40" s="128" t="s">
        <v>760</v>
      </c>
      <c r="G40" s="128" t="s">
        <v>1925</v>
      </c>
      <c r="H40" s="128" t="s">
        <v>1926</v>
      </c>
      <c r="I40" s="128" t="s">
        <v>1927</v>
      </c>
    </row>
    <row r="41" ht="37.5" customHeight="1">
      <c r="A41" s="128" t="s">
        <v>1928</v>
      </c>
      <c r="B41" s="13"/>
      <c r="C41" s="128" t="s">
        <v>1244</v>
      </c>
      <c r="D41" s="128" t="s">
        <v>1929</v>
      </c>
      <c r="E41" s="128">
        <f t="shared" si="2"/>
        <v>3</v>
      </c>
      <c r="F41" s="128" t="s">
        <v>760</v>
      </c>
      <c r="G41" s="128" t="s">
        <v>1930</v>
      </c>
      <c r="H41" s="128" t="s">
        <v>1931</v>
      </c>
      <c r="I41" s="128" t="s">
        <v>815</v>
      </c>
    </row>
    <row r="42" ht="37.5" customHeight="1">
      <c r="A42" s="128" t="s">
        <v>1932</v>
      </c>
      <c r="B42" s="13"/>
      <c r="C42" s="128" t="s">
        <v>1933</v>
      </c>
      <c r="D42" s="128" t="s">
        <v>1890</v>
      </c>
      <c r="E42" s="128">
        <f t="shared" si="2"/>
        <v>3</v>
      </c>
      <c r="F42" s="128" t="s">
        <v>760</v>
      </c>
      <c r="G42" s="14" t="s">
        <v>1934</v>
      </c>
      <c r="H42" s="14" t="s">
        <v>1935</v>
      </c>
      <c r="I42" s="128" t="s">
        <v>1936</v>
      </c>
    </row>
    <row r="43" ht="37.5" customHeight="1">
      <c r="A43" s="128" t="s">
        <v>1937</v>
      </c>
      <c r="B43" s="13"/>
      <c r="C43" s="128" t="s">
        <v>625</v>
      </c>
      <c r="D43" s="128" t="s">
        <v>1796</v>
      </c>
      <c r="E43" s="128">
        <f t="shared" si="2"/>
        <v>3</v>
      </c>
      <c r="F43" s="128" t="s">
        <v>760</v>
      </c>
      <c r="G43" s="128" t="s">
        <v>962</v>
      </c>
      <c r="H43" s="128" t="s">
        <v>1053</v>
      </c>
      <c r="I43" s="128" t="s">
        <v>1938</v>
      </c>
    </row>
    <row r="44" ht="37.5" customHeight="1">
      <c r="A44" s="128" t="s">
        <v>1939</v>
      </c>
      <c r="B44" s="13"/>
      <c r="C44" s="128" t="s">
        <v>882</v>
      </c>
      <c r="D44" s="128" t="s">
        <v>1879</v>
      </c>
      <c r="E44" s="128">
        <f t="shared" si="2"/>
        <v>4</v>
      </c>
      <c r="F44" s="128" t="s">
        <v>1940</v>
      </c>
      <c r="G44" s="128" t="s">
        <v>925</v>
      </c>
      <c r="H44" s="128" t="s">
        <v>932</v>
      </c>
      <c r="I44" s="14" t="s">
        <v>1941</v>
      </c>
    </row>
    <row r="45" ht="37.5" customHeight="1">
      <c r="A45" s="128" t="s">
        <v>1942</v>
      </c>
      <c r="B45" s="128"/>
      <c r="C45" s="128" t="s">
        <v>639</v>
      </c>
      <c r="D45" s="128" t="s">
        <v>1814</v>
      </c>
      <c r="E45" s="128">
        <f t="shared" si="2"/>
        <v>4</v>
      </c>
      <c r="F45" s="128" t="s">
        <v>1940</v>
      </c>
      <c r="G45" s="128" t="s">
        <v>962</v>
      </c>
      <c r="H45" s="128" t="s">
        <v>1943</v>
      </c>
      <c r="I45" s="128" t="s">
        <v>1944</v>
      </c>
    </row>
    <row r="46" ht="37.5" customHeight="1">
      <c r="A46" s="128" t="s">
        <v>1945</v>
      </c>
      <c r="B46" s="13"/>
      <c r="C46" s="128" t="s">
        <v>1373</v>
      </c>
      <c r="D46" s="128" t="s">
        <v>1929</v>
      </c>
      <c r="E46" s="128">
        <f t="shared" si="2"/>
        <v>4</v>
      </c>
      <c r="F46" s="128" t="s">
        <v>1940</v>
      </c>
      <c r="G46" s="128" t="s">
        <v>183</v>
      </c>
      <c r="H46" s="128" t="s">
        <v>1946</v>
      </c>
      <c r="I46" s="128" t="s">
        <v>1947</v>
      </c>
    </row>
    <row r="47" ht="37.5" customHeight="1">
      <c r="A47" s="128" t="s">
        <v>1948</v>
      </c>
      <c r="B47" s="13"/>
      <c r="C47" s="128" t="s">
        <v>544</v>
      </c>
      <c r="D47" s="128" t="s">
        <v>1839</v>
      </c>
      <c r="E47" s="128">
        <f t="shared" si="2"/>
        <v>4</v>
      </c>
      <c r="F47" s="128" t="s">
        <v>1940</v>
      </c>
      <c r="G47" s="14" t="s">
        <v>1949</v>
      </c>
      <c r="H47" s="14" t="s">
        <v>1950</v>
      </c>
      <c r="I47" s="128" t="s">
        <v>1951</v>
      </c>
    </row>
    <row r="48" ht="37.5" customHeight="1">
      <c r="A48" s="128" t="s">
        <v>1952</v>
      </c>
      <c r="B48" s="13"/>
      <c r="C48" s="128" t="s">
        <v>336</v>
      </c>
      <c r="D48" s="128" t="s">
        <v>1953</v>
      </c>
      <c r="E48" s="128">
        <f t="shared" si="2"/>
        <v>4</v>
      </c>
      <c r="F48" s="128" t="s">
        <v>1940</v>
      </c>
      <c r="G48" s="14" t="s">
        <v>1954</v>
      </c>
      <c r="H48" s="14" t="s">
        <v>1955</v>
      </c>
      <c r="I48" s="128" t="s">
        <v>1956</v>
      </c>
    </row>
    <row r="49" ht="37.5" customHeight="1">
      <c r="A49" s="128" t="s">
        <v>1957</v>
      </c>
      <c r="B49" s="13"/>
      <c r="C49" s="128" t="s">
        <v>252</v>
      </c>
      <c r="D49" s="128" t="s">
        <v>1958</v>
      </c>
      <c r="E49" s="128">
        <f t="shared" si="2"/>
        <v>4</v>
      </c>
      <c r="F49" s="128" t="s">
        <v>1940</v>
      </c>
      <c r="G49" s="128" t="s">
        <v>1959</v>
      </c>
      <c r="H49" s="128" t="s">
        <v>1960</v>
      </c>
      <c r="I49" s="128" t="s">
        <v>1961</v>
      </c>
    </row>
    <row r="50" ht="37.5" customHeight="1">
      <c r="A50" s="128" t="s">
        <v>1962</v>
      </c>
      <c r="B50" s="129"/>
      <c r="C50" s="128" t="s">
        <v>1119</v>
      </c>
      <c r="D50" s="128" t="s">
        <v>1801</v>
      </c>
      <c r="E50" s="128">
        <f t="shared" si="2"/>
        <v>4</v>
      </c>
      <c r="F50" s="128" t="s">
        <v>1940</v>
      </c>
      <c r="G50" s="128" t="s">
        <v>12</v>
      </c>
      <c r="H50" s="128" t="s">
        <v>12</v>
      </c>
      <c r="I50" s="128" t="s">
        <v>1963</v>
      </c>
    </row>
    <row r="51" ht="37.5" customHeight="1">
      <c r="A51" s="128" t="s">
        <v>1964</v>
      </c>
      <c r="B51" s="13"/>
      <c r="C51" s="128" t="s">
        <v>499</v>
      </c>
      <c r="D51" s="128" t="s">
        <v>1965</v>
      </c>
      <c r="E51" s="128">
        <f t="shared" si="2"/>
        <v>4</v>
      </c>
      <c r="F51" s="128" t="s">
        <v>1940</v>
      </c>
      <c r="G51" s="14" t="s">
        <v>1966</v>
      </c>
      <c r="H51" s="14" t="s">
        <v>1967</v>
      </c>
      <c r="I51" s="128" t="s">
        <v>1968</v>
      </c>
    </row>
    <row r="52" ht="37.5" customHeight="1">
      <c r="A52" s="128" t="s">
        <v>1969</v>
      </c>
      <c r="B52" s="13"/>
      <c r="C52" s="128" t="s">
        <v>271</v>
      </c>
      <c r="D52" s="128" t="s">
        <v>1796</v>
      </c>
      <c r="E52" s="128">
        <f t="shared" si="2"/>
        <v>4</v>
      </c>
      <c r="F52" s="128" t="s">
        <v>1940</v>
      </c>
      <c r="G52" s="14" t="s">
        <v>1970</v>
      </c>
      <c r="H52" s="14" t="s">
        <v>276</v>
      </c>
      <c r="I52" s="128" t="s">
        <v>1971</v>
      </c>
    </row>
    <row r="53" ht="37.5" customHeight="1">
      <c r="A53" s="128" t="s">
        <v>1972</v>
      </c>
      <c r="B53" s="13"/>
      <c r="C53" s="128" t="s">
        <v>1277</v>
      </c>
      <c r="D53" s="128" t="s">
        <v>1274</v>
      </c>
      <c r="E53" s="128">
        <f t="shared" si="2"/>
        <v>4</v>
      </c>
      <c r="F53" s="128" t="s">
        <v>1940</v>
      </c>
      <c r="G53" s="128" t="s">
        <v>1865</v>
      </c>
      <c r="H53" s="128" t="s">
        <v>1973</v>
      </c>
      <c r="I53" s="128" t="s">
        <v>1974</v>
      </c>
    </row>
    <row r="54" ht="37.5" customHeight="1">
      <c r="A54" s="128" t="s">
        <v>1975</v>
      </c>
      <c r="B54" s="13"/>
      <c r="C54" s="128" t="s">
        <v>590</v>
      </c>
      <c r="D54" s="128" t="s">
        <v>1879</v>
      </c>
      <c r="E54" s="128">
        <f t="shared" si="2"/>
        <v>4</v>
      </c>
      <c r="F54" s="128" t="s">
        <v>1940</v>
      </c>
      <c r="G54" s="128" t="s">
        <v>1976</v>
      </c>
      <c r="H54" s="128" t="s">
        <v>1977</v>
      </c>
      <c r="I54" s="128" t="s">
        <v>1978</v>
      </c>
    </row>
  </sheetData>
  <autoFilter ref="$A$1:$I$54">
    <sortState ref="A1:I54">
      <sortCondition ref="E1:E54"/>
      <sortCondition descending="1" ref="F1:F54"/>
      <sortCondition ref="A1:A54"/>
    </sortState>
  </autoFilter>
  <conditionalFormatting sqref="B25">
    <cfRule type="expression" dxfId="12" priority="1">
      <formula>$C25=MAX($C$14:$C54)</formula>
    </cfRule>
  </conditionalFormatting>
  <conditionalFormatting sqref="E2:F54">
    <cfRule type="cellIs" dxfId="2" priority="2" operator="equal">
      <formula>"high"</formula>
    </cfRule>
  </conditionalFormatting>
  <conditionalFormatting sqref="E2:F54">
    <cfRule type="cellIs" dxfId="13" priority="3" operator="equal">
      <formula>"medium"</formula>
    </cfRule>
  </conditionalFormatting>
  <conditionalFormatting sqref="E2:F54">
    <cfRule type="cellIs" dxfId="14" priority="4" operator="equal">
      <formula>"low"</formula>
    </cfRule>
  </conditionalFormatting>
  <conditionalFormatting sqref="E2:F54">
    <cfRule type="cellIs" dxfId="15" priority="5" operator="equal">
      <formula>"niche"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38"/>
    <col customWidth="1" min="2" max="2" width="13.13"/>
    <col customWidth="1" min="3" max="3" width="14.63"/>
    <col customWidth="1" min="4" max="4" width="8.63"/>
    <col customWidth="1" min="5" max="5" width="9.0"/>
    <col customWidth="1" min="6" max="10" width="10.13"/>
    <col customWidth="1" min="11" max="12" width="8.63"/>
    <col customWidth="1" min="13" max="13" width="10.13"/>
    <col customWidth="1" min="14" max="17" width="10.63"/>
    <col customWidth="1" min="18" max="19" width="9.75"/>
    <col customWidth="1" min="20" max="20" width="19.13"/>
    <col customWidth="1" min="21" max="21" width="7.38"/>
  </cols>
  <sheetData>
    <row r="1" ht="15.0" customHeight="1">
      <c r="A1" s="131" t="s">
        <v>48</v>
      </c>
      <c r="E1" s="6" t="s">
        <v>1979</v>
      </c>
      <c r="U1" s="10" t="s">
        <v>1980</v>
      </c>
    </row>
    <row r="2" ht="29.25" customHeight="1">
      <c r="A2" s="132" t="s">
        <v>53</v>
      </c>
      <c r="B2" s="11" t="s">
        <v>1</v>
      </c>
      <c r="C2" s="11" t="s">
        <v>55</v>
      </c>
      <c r="D2" s="11" t="s">
        <v>0</v>
      </c>
      <c r="E2" s="11" t="s">
        <v>1981</v>
      </c>
      <c r="F2" s="11" t="s">
        <v>1982</v>
      </c>
      <c r="G2" s="11" t="s">
        <v>1983</v>
      </c>
      <c r="H2" s="133" t="s">
        <v>1984</v>
      </c>
      <c r="I2" s="127" t="s">
        <v>4</v>
      </c>
      <c r="J2" s="133" t="s">
        <v>0</v>
      </c>
      <c r="K2" s="134" t="s">
        <v>1985</v>
      </c>
      <c r="L2" s="135" t="s">
        <v>1986</v>
      </c>
      <c r="M2" s="134" t="s">
        <v>1987</v>
      </c>
      <c r="N2" s="11" t="s">
        <v>1988</v>
      </c>
      <c r="O2" s="11" t="s">
        <v>1989</v>
      </c>
      <c r="P2" s="11" t="s">
        <v>1990</v>
      </c>
      <c r="Q2" s="11" t="s">
        <v>1991</v>
      </c>
      <c r="R2" s="11" t="s">
        <v>1992</v>
      </c>
      <c r="S2" s="11" t="s">
        <v>1993</v>
      </c>
      <c r="T2" s="11" t="s">
        <v>1994</v>
      </c>
      <c r="U2" s="12" t="s">
        <v>63</v>
      </c>
    </row>
    <row r="3" ht="37.5" customHeight="1">
      <c r="A3" s="136"/>
      <c r="B3" s="14" t="s">
        <v>1995</v>
      </c>
      <c r="C3" s="14" t="s">
        <v>1996</v>
      </c>
      <c r="D3" s="14" t="s">
        <v>37</v>
      </c>
      <c r="E3" s="137">
        <f t="shared" ref="E3:E4" si="1">G3*K3</f>
        <v>11428.95833</v>
      </c>
      <c r="F3" s="137">
        <f t="shared" ref="F3:F4" si="2">G3*L3</f>
        <v>9600.325</v>
      </c>
      <c r="G3" s="137">
        <f t="shared" ref="G3:G16" si="3">H3/I3</f>
        <v>9143.166667</v>
      </c>
      <c r="H3" s="138">
        <v>54859.0</v>
      </c>
      <c r="I3" s="14">
        <v>6.0</v>
      </c>
      <c r="J3" s="138">
        <v>25.0</v>
      </c>
      <c r="K3" s="139">
        <v>1.25</v>
      </c>
      <c r="L3" s="139">
        <v>1.05</v>
      </c>
      <c r="M3" s="139">
        <v>7.95</v>
      </c>
      <c r="N3" s="137">
        <f t="shared" ref="N3:N4" si="4">O3*K3</f>
        <v>1714343.75</v>
      </c>
      <c r="O3" s="137">
        <f t="shared" ref="O3:O13" si="5">J3*H3</f>
        <v>1371475</v>
      </c>
      <c r="P3" s="137">
        <f t="shared" ref="P3:P16" si="6">Q3*K3</f>
        <v>545161.3125</v>
      </c>
      <c r="Q3" s="137">
        <f t="shared" ref="Q3:Q13" si="7">M3*H3</f>
        <v>436129.05</v>
      </c>
      <c r="R3" s="139" t="s">
        <v>12</v>
      </c>
      <c r="S3" s="139">
        <v>2.28</v>
      </c>
      <c r="T3" s="14" t="s">
        <v>857</v>
      </c>
      <c r="U3" s="14" t="s">
        <v>71</v>
      </c>
    </row>
    <row r="4" ht="37.5" customHeight="1">
      <c r="A4" s="136"/>
      <c r="B4" s="14" t="s">
        <v>1997</v>
      </c>
      <c r="C4" s="14" t="s">
        <v>1998</v>
      </c>
      <c r="D4" s="14" t="s">
        <v>9</v>
      </c>
      <c r="E4" s="137">
        <f t="shared" si="1"/>
        <v>132294.25</v>
      </c>
      <c r="F4" s="137">
        <f t="shared" si="2"/>
        <v>95143.125</v>
      </c>
      <c r="G4" s="137">
        <f t="shared" si="3"/>
        <v>90612.5</v>
      </c>
      <c r="H4" s="138">
        <v>36245.0</v>
      </c>
      <c r="I4" s="14">
        <v>0.4</v>
      </c>
      <c r="J4" s="138">
        <v>39.0</v>
      </c>
      <c r="K4" s="139">
        <v>1.46</v>
      </c>
      <c r="L4" s="139">
        <v>1.05</v>
      </c>
      <c r="M4" s="139">
        <v>11.6</v>
      </c>
      <c r="N4" s="137">
        <f t="shared" si="4"/>
        <v>2063790.3</v>
      </c>
      <c r="O4" s="137">
        <f t="shared" si="5"/>
        <v>1413555</v>
      </c>
      <c r="P4" s="137">
        <f t="shared" si="6"/>
        <v>613845.32</v>
      </c>
      <c r="Q4" s="137">
        <f t="shared" si="7"/>
        <v>420442</v>
      </c>
      <c r="R4" s="139" t="s">
        <v>12</v>
      </c>
      <c r="S4" s="139">
        <v>3.57</v>
      </c>
      <c r="T4" s="14" t="s">
        <v>1203</v>
      </c>
      <c r="U4" s="14" t="s">
        <v>71</v>
      </c>
    </row>
    <row r="5" ht="37.5" customHeight="1">
      <c r="A5" s="136"/>
      <c r="B5" s="14" t="s">
        <v>1999</v>
      </c>
      <c r="C5" s="14" t="s">
        <v>2000</v>
      </c>
      <c r="D5" s="14" t="s">
        <v>9</v>
      </c>
      <c r="E5" s="137">
        <f>G5/1.247*K5+G5/1.247*0.247*6</f>
        <v>115856.0658</v>
      </c>
      <c r="F5" s="137">
        <f>G5/1.278*L5+G5/1.278*0.278*5</f>
        <v>100275.9504</v>
      </c>
      <c r="G5" s="137">
        <f t="shared" si="3"/>
        <v>52307.21003</v>
      </c>
      <c r="H5" s="138">
        <v>116802.0</v>
      </c>
      <c r="I5" s="14">
        <v>2.233</v>
      </c>
      <c r="J5" s="138">
        <v>11.0</v>
      </c>
      <c r="K5" s="139">
        <v>1.28</v>
      </c>
      <c r="L5" s="139">
        <v>1.06</v>
      </c>
      <c r="M5" s="139">
        <v>4.25</v>
      </c>
      <c r="N5" s="137">
        <f>O5/1.247*K5+O5/1.247*0.247*6</f>
        <v>2845772.545</v>
      </c>
      <c r="O5" s="137">
        <f t="shared" si="5"/>
        <v>1284822</v>
      </c>
      <c r="P5" s="137">
        <f t="shared" si="6"/>
        <v>635402.88</v>
      </c>
      <c r="Q5" s="137">
        <f t="shared" si="7"/>
        <v>496408.5</v>
      </c>
      <c r="R5" s="139" t="s">
        <v>12</v>
      </c>
      <c r="S5" s="139">
        <v>2.97</v>
      </c>
      <c r="T5" s="14" t="s">
        <v>660</v>
      </c>
      <c r="U5" s="14" t="s">
        <v>71</v>
      </c>
    </row>
    <row r="6" ht="37.5" customHeight="1">
      <c r="A6" s="136"/>
      <c r="B6" s="14" t="s">
        <v>42</v>
      </c>
      <c r="C6" s="14" t="s">
        <v>1998</v>
      </c>
      <c r="D6" s="14" t="s">
        <v>37</v>
      </c>
      <c r="E6" s="137">
        <f t="shared" ref="E6:E12" si="8">G6*K6</f>
        <v>83345.42725</v>
      </c>
      <c r="F6" s="137">
        <f t="shared" ref="F6:F12" si="9">G6*L6</f>
        <v>74950.92379</v>
      </c>
      <c r="G6" s="137">
        <f t="shared" si="3"/>
        <v>59960.73903</v>
      </c>
      <c r="H6" s="138">
        <v>25963.0</v>
      </c>
      <c r="I6" s="14">
        <v>0.433</v>
      </c>
      <c r="J6" s="138">
        <v>31.0</v>
      </c>
      <c r="K6" s="139">
        <v>1.39</v>
      </c>
      <c r="L6" s="139">
        <v>1.25</v>
      </c>
      <c r="M6" s="139">
        <v>10.33</v>
      </c>
      <c r="N6" s="137">
        <f t="shared" ref="N6:N12" si="10">O6*K6</f>
        <v>1118745.67</v>
      </c>
      <c r="O6" s="137">
        <f t="shared" si="5"/>
        <v>804853</v>
      </c>
      <c r="P6" s="137">
        <f t="shared" si="6"/>
        <v>372794.9281</v>
      </c>
      <c r="Q6" s="137">
        <f t="shared" si="7"/>
        <v>268197.79</v>
      </c>
      <c r="R6" s="139">
        <v>4.77</v>
      </c>
      <c r="S6" s="139" t="s">
        <v>12</v>
      </c>
      <c r="T6" s="14" t="s">
        <v>72</v>
      </c>
      <c r="U6" s="14" t="s">
        <v>71</v>
      </c>
    </row>
    <row r="7" ht="37.5" customHeight="1">
      <c r="A7" s="136"/>
      <c r="B7" s="14" t="s">
        <v>35</v>
      </c>
      <c r="C7" s="14" t="s">
        <v>44</v>
      </c>
      <c r="D7" s="14" t="s">
        <v>37</v>
      </c>
      <c r="E7" s="137">
        <f t="shared" si="8"/>
        <v>42677.05217</v>
      </c>
      <c r="F7" s="137">
        <f t="shared" si="9"/>
        <v>38077.13038</v>
      </c>
      <c r="G7" s="137">
        <f t="shared" si="3"/>
        <v>25555.12106</v>
      </c>
      <c r="H7" s="140">
        <v>15741.954571428572</v>
      </c>
      <c r="I7" s="14">
        <v>0.616</v>
      </c>
      <c r="J7" s="138">
        <v>55.0</v>
      </c>
      <c r="K7" s="139">
        <v>1.67</v>
      </c>
      <c r="L7" s="139">
        <v>1.49</v>
      </c>
      <c r="M7" s="139">
        <v>18.54</v>
      </c>
      <c r="N7" s="137">
        <f t="shared" si="10"/>
        <v>1445898.527</v>
      </c>
      <c r="O7" s="137">
        <f t="shared" si="5"/>
        <v>865807.5014</v>
      </c>
      <c r="P7" s="137">
        <f t="shared" si="6"/>
        <v>487399.249</v>
      </c>
      <c r="Q7" s="137">
        <f t="shared" si="7"/>
        <v>291855.8378</v>
      </c>
      <c r="R7" s="139" t="s">
        <v>23</v>
      </c>
      <c r="S7" s="139">
        <v>1.91</v>
      </c>
      <c r="T7" s="14" t="s">
        <v>1877</v>
      </c>
      <c r="U7" s="14" t="s">
        <v>71</v>
      </c>
    </row>
    <row r="8" ht="37.5" customHeight="1">
      <c r="A8" s="136"/>
      <c r="B8" s="14" t="s">
        <v>1995</v>
      </c>
      <c r="C8" s="14" t="s">
        <v>2001</v>
      </c>
      <c r="D8" s="14" t="s">
        <v>37</v>
      </c>
      <c r="E8" s="137">
        <f t="shared" si="8"/>
        <v>75682.15892</v>
      </c>
      <c r="F8" s="137">
        <f t="shared" si="9"/>
        <v>63573.01349</v>
      </c>
      <c r="G8" s="137">
        <f t="shared" si="3"/>
        <v>60545.72714</v>
      </c>
      <c r="H8" s="138">
        <v>40384.0</v>
      </c>
      <c r="I8" s="14">
        <v>0.667</v>
      </c>
      <c r="J8" s="138">
        <v>25.0</v>
      </c>
      <c r="K8" s="139">
        <v>1.25</v>
      </c>
      <c r="L8" s="139">
        <v>1.05</v>
      </c>
      <c r="M8" s="139">
        <v>7.95</v>
      </c>
      <c r="N8" s="137">
        <f t="shared" si="10"/>
        <v>1262000</v>
      </c>
      <c r="O8" s="137">
        <f t="shared" si="5"/>
        <v>1009600</v>
      </c>
      <c r="P8" s="137">
        <f t="shared" si="6"/>
        <v>401316</v>
      </c>
      <c r="Q8" s="137">
        <f t="shared" si="7"/>
        <v>321052.8</v>
      </c>
      <c r="R8" s="139" t="s">
        <v>12</v>
      </c>
      <c r="S8" s="139">
        <v>2.16</v>
      </c>
      <c r="T8" s="14" t="s">
        <v>863</v>
      </c>
      <c r="U8" s="14" t="s">
        <v>92</v>
      </c>
    </row>
    <row r="9" ht="37.5" customHeight="1">
      <c r="A9" s="136"/>
      <c r="B9" s="14" t="s">
        <v>1997</v>
      </c>
      <c r="C9" s="14" t="s">
        <v>13</v>
      </c>
      <c r="D9" s="14" t="s">
        <v>9</v>
      </c>
      <c r="E9" s="137">
        <f t="shared" si="8"/>
        <v>119898.189</v>
      </c>
      <c r="F9" s="137">
        <f t="shared" si="9"/>
        <v>86228.14961</v>
      </c>
      <c r="G9" s="137">
        <f t="shared" si="3"/>
        <v>82122.04724</v>
      </c>
      <c r="H9" s="138">
        <v>41718.0</v>
      </c>
      <c r="I9" s="14">
        <v>0.508</v>
      </c>
      <c r="J9" s="138">
        <v>31.0</v>
      </c>
      <c r="K9" s="139">
        <v>1.46</v>
      </c>
      <c r="L9" s="139">
        <v>1.05</v>
      </c>
      <c r="M9" s="139">
        <v>9.51</v>
      </c>
      <c r="N9" s="137">
        <f t="shared" si="10"/>
        <v>1888156.68</v>
      </c>
      <c r="O9" s="137">
        <f t="shared" si="5"/>
        <v>1293258</v>
      </c>
      <c r="P9" s="137">
        <f t="shared" si="6"/>
        <v>579237.7428</v>
      </c>
      <c r="Q9" s="137">
        <f t="shared" si="7"/>
        <v>396738.18</v>
      </c>
      <c r="R9" s="139" t="s">
        <v>12</v>
      </c>
      <c r="S9" s="139">
        <v>3.2</v>
      </c>
      <c r="T9" s="14" t="s">
        <v>1201</v>
      </c>
      <c r="U9" s="14" t="s">
        <v>92</v>
      </c>
    </row>
    <row r="10" ht="37.5" customHeight="1">
      <c r="A10" s="136"/>
      <c r="B10" s="14" t="s">
        <v>2002</v>
      </c>
      <c r="C10" s="14" t="s">
        <v>13</v>
      </c>
      <c r="D10" s="14" t="s">
        <v>9</v>
      </c>
      <c r="E10" s="137">
        <f t="shared" si="8"/>
        <v>69730.82707</v>
      </c>
      <c r="F10" s="137">
        <f t="shared" si="9"/>
        <v>55784.66165</v>
      </c>
      <c r="G10" s="137">
        <f t="shared" si="3"/>
        <v>35759.3985</v>
      </c>
      <c r="H10" s="138">
        <v>4756.0</v>
      </c>
      <c r="I10" s="14">
        <v>0.133</v>
      </c>
      <c r="J10" s="138">
        <v>500.0</v>
      </c>
      <c r="K10" s="139">
        <v>1.95</v>
      </c>
      <c r="L10" s="139">
        <v>1.56</v>
      </c>
      <c r="M10" s="139">
        <v>149.25</v>
      </c>
      <c r="N10" s="137">
        <f t="shared" si="10"/>
        <v>4637100</v>
      </c>
      <c r="O10" s="137">
        <f t="shared" si="5"/>
        <v>2378000</v>
      </c>
      <c r="P10" s="137">
        <f t="shared" si="6"/>
        <v>1384174.35</v>
      </c>
      <c r="Q10" s="137">
        <f t="shared" si="7"/>
        <v>709833</v>
      </c>
      <c r="R10" s="139">
        <v>47.67</v>
      </c>
      <c r="S10" s="139">
        <v>4.84</v>
      </c>
      <c r="T10" s="14" t="s">
        <v>2003</v>
      </c>
      <c r="U10" s="14" t="s">
        <v>92</v>
      </c>
    </row>
    <row r="11" ht="37.5" customHeight="1">
      <c r="A11" s="136"/>
      <c r="B11" s="14" t="s">
        <v>2002</v>
      </c>
      <c r="C11" s="14" t="s">
        <v>16</v>
      </c>
      <c r="D11" s="14" t="s">
        <v>9</v>
      </c>
      <c r="E11" s="137">
        <f t="shared" si="8"/>
        <v>75777</v>
      </c>
      <c r="F11" s="137">
        <f t="shared" si="9"/>
        <v>60621.6</v>
      </c>
      <c r="G11" s="137">
        <f t="shared" si="3"/>
        <v>38860</v>
      </c>
      <c r="H11" s="138">
        <v>3886.0</v>
      </c>
      <c r="I11" s="14">
        <v>0.1</v>
      </c>
      <c r="J11" s="138">
        <v>590.0</v>
      </c>
      <c r="K11" s="139">
        <v>1.95</v>
      </c>
      <c r="L11" s="139">
        <v>1.56</v>
      </c>
      <c r="M11" s="139">
        <v>176.13</v>
      </c>
      <c r="N11" s="137">
        <f t="shared" si="10"/>
        <v>4470843</v>
      </c>
      <c r="O11" s="137">
        <f t="shared" si="5"/>
        <v>2292740</v>
      </c>
      <c r="P11" s="137">
        <f t="shared" si="6"/>
        <v>1334660.301</v>
      </c>
      <c r="Q11" s="137">
        <f t="shared" si="7"/>
        <v>684441.18</v>
      </c>
      <c r="R11" s="139">
        <v>47.21</v>
      </c>
      <c r="S11" s="139">
        <v>5.02</v>
      </c>
      <c r="T11" s="14" t="s">
        <v>1324</v>
      </c>
      <c r="U11" s="14" t="s">
        <v>92</v>
      </c>
    </row>
    <row r="12" ht="37.5" customHeight="1">
      <c r="A12" s="136"/>
      <c r="B12" s="14" t="s">
        <v>2002</v>
      </c>
      <c r="C12" s="14" t="s">
        <v>264</v>
      </c>
      <c r="D12" s="14" t="s">
        <v>9</v>
      </c>
      <c r="E12" s="137">
        <f t="shared" si="8"/>
        <v>67269.16168</v>
      </c>
      <c r="F12" s="137">
        <f t="shared" si="9"/>
        <v>53815.32934</v>
      </c>
      <c r="G12" s="137">
        <f t="shared" si="3"/>
        <v>34497.00599</v>
      </c>
      <c r="H12" s="138">
        <v>5761.0</v>
      </c>
      <c r="I12" s="14">
        <v>0.167</v>
      </c>
      <c r="J12" s="138">
        <v>498.0</v>
      </c>
      <c r="K12" s="139">
        <v>1.95</v>
      </c>
      <c r="L12" s="139">
        <v>1.56</v>
      </c>
      <c r="M12" s="139">
        <v>148.68</v>
      </c>
      <c r="N12" s="137">
        <f t="shared" si="10"/>
        <v>5594507.1</v>
      </c>
      <c r="O12" s="137">
        <f t="shared" si="5"/>
        <v>2868978</v>
      </c>
      <c r="P12" s="137">
        <f t="shared" si="6"/>
        <v>1670263.686</v>
      </c>
      <c r="Q12" s="137">
        <f t="shared" si="7"/>
        <v>856545.48</v>
      </c>
      <c r="R12" s="139">
        <v>47.85</v>
      </c>
      <c r="S12" s="139">
        <v>5.22</v>
      </c>
      <c r="T12" s="14" t="s">
        <v>2004</v>
      </c>
      <c r="U12" s="14" t="s">
        <v>92</v>
      </c>
    </row>
    <row r="13" ht="37.5" customHeight="1">
      <c r="A13" s="136"/>
      <c r="B13" s="14" t="s">
        <v>1999</v>
      </c>
      <c r="C13" s="14" t="s">
        <v>2005</v>
      </c>
      <c r="D13" s="14" t="s">
        <v>9</v>
      </c>
      <c r="E13" s="137">
        <f>G13/1.247*K13+G13/1.247*0.247*6</f>
        <v>115856.0658</v>
      </c>
      <c r="F13" s="137">
        <f>G13/1.278*L13+G13/1.278*0.278*5</f>
        <v>100275.9504</v>
      </c>
      <c r="G13" s="137">
        <f t="shared" si="3"/>
        <v>52307.21003</v>
      </c>
      <c r="H13" s="138">
        <v>116802.0</v>
      </c>
      <c r="I13" s="14">
        <v>2.233</v>
      </c>
      <c r="J13" s="138">
        <v>10.0</v>
      </c>
      <c r="K13" s="139">
        <v>1.28</v>
      </c>
      <c r="L13" s="139">
        <v>1.06</v>
      </c>
      <c r="M13" s="139">
        <v>4.0</v>
      </c>
      <c r="N13" s="137">
        <f>O13/1.247*K13+O13/1.247*0.247*6</f>
        <v>2587065.95</v>
      </c>
      <c r="O13" s="137">
        <f t="shared" si="5"/>
        <v>1168020</v>
      </c>
      <c r="P13" s="137">
        <f t="shared" si="6"/>
        <v>598026.24</v>
      </c>
      <c r="Q13" s="137">
        <f t="shared" si="7"/>
        <v>467208</v>
      </c>
      <c r="R13" s="139" t="s">
        <v>12</v>
      </c>
      <c r="S13" s="139">
        <v>3.19</v>
      </c>
      <c r="T13" s="14" t="s">
        <v>880</v>
      </c>
      <c r="U13" s="14" t="s">
        <v>92</v>
      </c>
    </row>
    <row r="14" ht="37.5" customHeight="1">
      <c r="A14" s="136"/>
      <c r="B14" s="14" t="s">
        <v>21</v>
      </c>
      <c r="C14" s="14" t="s">
        <v>2006</v>
      </c>
      <c r="D14" s="14" t="s">
        <v>9</v>
      </c>
      <c r="E14" s="137">
        <f t="shared" ref="E14:E25" si="11">G14*K14</f>
        <v>84504.28571</v>
      </c>
      <c r="F14" s="137">
        <f t="shared" ref="F14:F25" si="12">G14*L14</f>
        <v>66922.85714</v>
      </c>
      <c r="G14" s="137">
        <f t="shared" si="3"/>
        <v>56714.28571</v>
      </c>
      <c r="H14" s="138">
        <v>131407.0</v>
      </c>
      <c r="I14" s="14">
        <v>2.317</v>
      </c>
      <c r="J14" s="138">
        <v>77.0</v>
      </c>
      <c r="K14" s="139">
        <v>1.49</v>
      </c>
      <c r="L14" s="139">
        <v>1.18</v>
      </c>
      <c r="M14" s="139">
        <v>30.45</v>
      </c>
      <c r="N14" s="137">
        <f t="shared" ref="N14:N16" si="13">O14*K14</f>
        <v>2512720.852</v>
      </c>
      <c r="O14" s="137">
        <f t="shared" ref="O14:O16" si="14">J14/6*H14</f>
        <v>1686389.833</v>
      </c>
      <c r="P14" s="137">
        <f t="shared" si="6"/>
        <v>993666.8823</v>
      </c>
      <c r="Q14" s="137">
        <f t="shared" ref="Q14:Q16" si="15">M14/6*H14</f>
        <v>666890.525</v>
      </c>
      <c r="R14" s="139" t="s">
        <v>12</v>
      </c>
      <c r="S14" s="139" t="s">
        <v>12</v>
      </c>
      <c r="T14" s="14" t="s">
        <v>2007</v>
      </c>
      <c r="U14" s="14" t="s">
        <v>92</v>
      </c>
    </row>
    <row r="15" ht="37.5" customHeight="1">
      <c r="A15" s="136"/>
      <c r="B15" s="14" t="s">
        <v>21</v>
      </c>
      <c r="C15" s="14" t="s">
        <v>2008</v>
      </c>
      <c r="D15" s="14" t="s">
        <v>9</v>
      </c>
      <c r="E15" s="137">
        <f t="shared" si="11"/>
        <v>86017.03247</v>
      </c>
      <c r="F15" s="137">
        <f t="shared" si="12"/>
        <v>68120.87135</v>
      </c>
      <c r="G15" s="137">
        <f t="shared" si="3"/>
        <v>57729.55199</v>
      </c>
      <c r="H15" s="138">
        <v>140456.0</v>
      </c>
      <c r="I15" s="14">
        <v>2.433</v>
      </c>
      <c r="J15" s="138">
        <v>77.0</v>
      </c>
      <c r="K15" s="139">
        <v>1.49</v>
      </c>
      <c r="L15" s="139">
        <v>1.18</v>
      </c>
      <c r="M15" s="139">
        <v>30.45</v>
      </c>
      <c r="N15" s="137">
        <f t="shared" si="13"/>
        <v>2685752.813</v>
      </c>
      <c r="O15" s="137">
        <f t="shared" si="14"/>
        <v>1802518.667</v>
      </c>
      <c r="P15" s="137">
        <f t="shared" si="6"/>
        <v>1062093.158</v>
      </c>
      <c r="Q15" s="137">
        <f t="shared" si="15"/>
        <v>712814.2</v>
      </c>
      <c r="R15" s="139" t="s">
        <v>12</v>
      </c>
      <c r="S15" s="139" t="s">
        <v>12</v>
      </c>
      <c r="T15" s="14" t="s">
        <v>1353</v>
      </c>
      <c r="U15" s="14" t="s">
        <v>92</v>
      </c>
    </row>
    <row r="16" ht="37.5" customHeight="1">
      <c r="A16" s="136"/>
      <c r="B16" s="14" t="s">
        <v>21</v>
      </c>
      <c r="C16" s="14" t="s">
        <v>2009</v>
      </c>
      <c r="D16" s="14" t="s">
        <v>9</v>
      </c>
      <c r="E16" s="137">
        <f t="shared" si="11"/>
        <v>100306.4345</v>
      </c>
      <c r="F16" s="137">
        <f t="shared" si="12"/>
        <v>79437.31056</v>
      </c>
      <c r="G16" s="137">
        <f t="shared" si="3"/>
        <v>67319.75471</v>
      </c>
      <c r="H16" s="138">
        <v>153691.0</v>
      </c>
      <c r="I16" s="14">
        <v>2.283</v>
      </c>
      <c r="J16" s="138">
        <v>77.0</v>
      </c>
      <c r="K16" s="139">
        <v>1.49</v>
      </c>
      <c r="L16" s="139">
        <v>1.18</v>
      </c>
      <c r="M16" s="139">
        <v>30.45</v>
      </c>
      <c r="N16" s="137">
        <f t="shared" si="13"/>
        <v>2938828.072</v>
      </c>
      <c r="O16" s="137">
        <f t="shared" si="14"/>
        <v>1972367.833</v>
      </c>
      <c r="P16" s="137">
        <f t="shared" si="6"/>
        <v>1162172.919</v>
      </c>
      <c r="Q16" s="137">
        <f t="shared" si="15"/>
        <v>779981.825</v>
      </c>
      <c r="R16" s="139" t="s">
        <v>12</v>
      </c>
      <c r="S16" s="139" t="s">
        <v>12</v>
      </c>
      <c r="T16" s="14" t="s">
        <v>1343</v>
      </c>
      <c r="U16" s="14" t="s">
        <v>92</v>
      </c>
    </row>
    <row r="17" ht="37.5" customHeight="1">
      <c r="A17" s="136"/>
      <c r="B17" s="14" t="s">
        <v>2010</v>
      </c>
      <c r="C17" s="14" t="s">
        <v>2011</v>
      </c>
      <c r="D17" s="14" t="s">
        <v>26</v>
      </c>
      <c r="E17" s="137">
        <f t="shared" si="11"/>
        <v>19740.12667</v>
      </c>
      <c r="F17" s="137">
        <f t="shared" si="12"/>
        <v>16652.28562</v>
      </c>
      <c r="G17" s="137">
        <v>11028.003724999999</v>
      </c>
      <c r="H17" s="137" t="s">
        <v>12</v>
      </c>
      <c r="I17" s="137" t="s">
        <v>12</v>
      </c>
      <c r="J17" s="137" t="s">
        <v>12</v>
      </c>
      <c r="K17" s="139">
        <v>1.79</v>
      </c>
      <c r="L17" s="139">
        <v>1.51</v>
      </c>
      <c r="M17" s="137" t="s">
        <v>12</v>
      </c>
      <c r="N17" s="137" t="s">
        <v>2012</v>
      </c>
      <c r="O17" s="137" t="s">
        <v>2012</v>
      </c>
      <c r="P17" s="141" t="s">
        <v>12</v>
      </c>
      <c r="Q17" s="137" t="s">
        <v>12</v>
      </c>
      <c r="R17" s="139">
        <v>26.2</v>
      </c>
      <c r="S17" s="139">
        <v>1.56</v>
      </c>
      <c r="T17" s="14" t="s">
        <v>750</v>
      </c>
      <c r="U17" s="14" t="s">
        <v>120</v>
      </c>
    </row>
    <row r="18" ht="37.5" customHeight="1">
      <c r="A18" s="136"/>
      <c r="B18" s="14" t="s">
        <v>1995</v>
      </c>
      <c r="C18" s="14" t="s">
        <v>41</v>
      </c>
      <c r="D18" s="14" t="s">
        <v>37</v>
      </c>
      <c r="E18" s="137">
        <f t="shared" si="11"/>
        <v>74038.6057</v>
      </c>
      <c r="F18" s="137">
        <f t="shared" si="12"/>
        <v>62192.42879</v>
      </c>
      <c r="G18" s="137">
        <f t="shared" ref="G18:G19" si="16">H18/I18</f>
        <v>59230.88456</v>
      </c>
      <c r="H18" s="138">
        <v>39507.0</v>
      </c>
      <c r="I18" s="14">
        <v>0.667</v>
      </c>
      <c r="J18" s="138">
        <v>25.0</v>
      </c>
      <c r="K18" s="139">
        <v>1.25</v>
      </c>
      <c r="L18" s="139">
        <v>1.05</v>
      </c>
      <c r="M18" s="139">
        <v>7.95</v>
      </c>
      <c r="N18" s="137">
        <f t="shared" ref="N18:N19" si="17">O18*K18</f>
        <v>1234593.75</v>
      </c>
      <c r="O18" s="137">
        <f t="shared" ref="O18:O19" si="18">J18*H18</f>
        <v>987675</v>
      </c>
      <c r="P18" s="137">
        <f t="shared" ref="P18:P19" si="19">Q18*K18</f>
        <v>392600.8125</v>
      </c>
      <c r="Q18" s="137">
        <f t="shared" ref="Q18:Q19" si="20">M18*H18</f>
        <v>314080.65</v>
      </c>
      <c r="R18" s="139" t="s">
        <v>12</v>
      </c>
      <c r="S18" s="139">
        <v>2.57</v>
      </c>
      <c r="T18" s="14" t="s">
        <v>336</v>
      </c>
      <c r="U18" s="14" t="s">
        <v>120</v>
      </c>
    </row>
    <row r="19" ht="37.5" customHeight="1">
      <c r="A19" s="136"/>
      <c r="B19" s="14" t="s">
        <v>1995</v>
      </c>
      <c r="C19" s="14" t="s">
        <v>40</v>
      </c>
      <c r="D19" s="14" t="s">
        <v>37</v>
      </c>
      <c r="E19" s="137">
        <f t="shared" si="11"/>
        <v>42005.24738</v>
      </c>
      <c r="F19" s="137">
        <f t="shared" si="12"/>
        <v>35284.4078</v>
      </c>
      <c r="G19" s="137">
        <f t="shared" si="16"/>
        <v>33604.1979</v>
      </c>
      <c r="H19" s="138">
        <v>22414.0</v>
      </c>
      <c r="I19" s="14">
        <v>0.667</v>
      </c>
      <c r="J19" s="138">
        <v>25.0</v>
      </c>
      <c r="K19" s="139">
        <v>1.25</v>
      </c>
      <c r="L19" s="139">
        <v>1.05</v>
      </c>
      <c r="M19" s="139">
        <v>7.95</v>
      </c>
      <c r="N19" s="137">
        <f t="shared" si="17"/>
        <v>700437.5</v>
      </c>
      <c r="O19" s="137">
        <f t="shared" si="18"/>
        <v>560350</v>
      </c>
      <c r="P19" s="137">
        <f t="shared" si="19"/>
        <v>222739.125</v>
      </c>
      <c r="Q19" s="137">
        <f t="shared" si="20"/>
        <v>178191.3</v>
      </c>
      <c r="R19" s="139" t="s">
        <v>12</v>
      </c>
      <c r="S19" s="139">
        <v>2.1</v>
      </c>
      <c r="T19" s="14" t="s">
        <v>331</v>
      </c>
      <c r="U19" s="14" t="s">
        <v>120</v>
      </c>
    </row>
    <row r="20" ht="37.5" customHeight="1">
      <c r="A20" s="136"/>
      <c r="B20" s="14" t="s">
        <v>2013</v>
      </c>
      <c r="C20" s="14" t="s">
        <v>13</v>
      </c>
      <c r="D20" s="14" t="s">
        <v>26</v>
      </c>
      <c r="E20" s="137">
        <f t="shared" si="11"/>
        <v>22426.20104</v>
      </c>
      <c r="F20" s="137">
        <f t="shared" si="12"/>
        <v>21972.22936</v>
      </c>
      <c r="G20" s="137">
        <v>9079.433618</v>
      </c>
      <c r="H20" s="137" t="s">
        <v>12</v>
      </c>
      <c r="I20" s="137" t="s">
        <v>12</v>
      </c>
      <c r="J20" s="137" t="s">
        <v>12</v>
      </c>
      <c r="K20" s="139">
        <v>2.47</v>
      </c>
      <c r="L20" s="139">
        <v>2.42</v>
      </c>
      <c r="M20" s="137" t="s">
        <v>12</v>
      </c>
      <c r="N20" s="137" t="s">
        <v>2012</v>
      </c>
      <c r="O20" s="137" t="s">
        <v>2012</v>
      </c>
      <c r="P20" s="141" t="s">
        <v>12</v>
      </c>
      <c r="Q20" s="137" t="s">
        <v>12</v>
      </c>
      <c r="R20" s="139">
        <v>29.4</v>
      </c>
      <c r="S20" s="139">
        <v>2.64</v>
      </c>
      <c r="T20" s="14" t="s">
        <v>2014</v>
      </c>
      <c r="U20" s="14" t="s">
        <v>120</v>
      </c>
    </row>
    <row r="21" ht="37.5" customHeight="1">
      <c r="A21" s="136"/>
      <c r="B21" s="14" t="s">
        <v>2013</v>
      </c>
      <c r="C21" s="14" t="s">
        <v>30</v>
      </c>
      <c r="D21" s="14" t="s">
        <v>26</v>
      </c>
      <c r="E21" s="137">
        <f t="shared" si="11"/>
        <v>24802.65769</v>
      </c>
      <c r="F21" s="137">
        <f t="shared" si="12"/>
        <v>24300.5796</v>
      </c>
      <c r="G21" s="137">
        <v>10041.561817</v>
      </c>
      <c r="H21" s="137" t="s">
        <v>12</v>
      </c>
      <c r="I21" s="137" t="s">
        <v>12</v>
      </c>
      <c r="J21" s="137" t="s">
        <v>12</v>
      </c>
      <c r="K21" s="139">
        <v>2.47</v>
      </c>
      <c r="L21" s="139">
        <v>2.42</v>
      </c>
      <c r="M21" s="137" t="s">
        <v>12</v>
      </c>
      <c r="N21" s="137" t="s">
        <v>2012</v>
      </c>
      <c r="O21" s="137" t="s">
        <v>2012</v>
      </c>
      <c r="P21" s="141" t="s">
        <v>12</v>
      </c>
      <c r="Q21" s="137" t="s">
        <v>12</v>
      </c>
      <c r="R21" s="139">
        <v>31.56</v>
      </c>
      <c r="S21" s="139">
        <v>3.02</v>
      </c>
      <c r="T21" s="14" t="s">
        <v>1408</v>
      </c>
      <c r="U21" s="14" t="s">
        <v>120</v>
      </c>
    </row>
    <row r="22" ht="37.5" customHeight="1">
      <c r="A22" s="136"/>
      <c r="B22" s="14" t="s">
        <v>2013</v>
      </c>
      <c r="C22" s="14" t="s">
        <v>24</v>
      </c>
      <c r="D22" s="14" t="s">
        <v>26</v>
      </c>
      <c r="E22" s="137">
        <f t="shared" si="11"/>
        <v>22426.20104</v>
      </c>
      <c r="F22" s="137">
        <f t="shared" si="12"/>
        <v>21972.22936</v>
      </c>
      <c r="G22" s="137">
        <v>9079.433618</v>
      </c>
      <c r="H22" s="137" t="s">
        <v>12</v>
      </c>
      <c r="I22" s="137" t="s">
        <v>12</v>
      </c>
      <c r="J22" s="137" t="s">
        <v>12</v>
      </c>
      <c r="K22" s="139">
        <v>2.47</v>
      </c>
      <c r="L22" s="139">
        <v>2.42</v>
      </c>
      <c r="M22" s="137" t="s">
        <v>12</v>
      </c>
      <c r="N22" s="137" t="s">
        <v>2012</v>
      </c>
      <c r="O22" s="137" t="s">
        <v>2012</v>
      </c>
      <c r="P22" s="141" t="s">
        <v>12</v>
      </c>
      <c r="Q22" s="137" t="s">
        <v>12</v>
      </c>
      <c r="R22" s="139">
        <v>29.8</v>
      </c>
      <c r="S22" s="139">
        <v>2.47</v>
      </c>
      <c r="T22" s="14" t="s">
        <v>2015</v>
      </c>
      <c r="U22" s="14" t="s">
        <v>120</v>
      </c>
    </row>
    <row r="23" ht="37.5" customHeight="1">
      <c r="A23" s="136"/>
      <c r="B23" s="14" t="s">
        <v>2013</v>
      </c>
      <c r="C23" s="14" t="s">
        <v>17</v>
      </c>
      <c r="D23" s="14" t="s">
        <v>26</v>
      </c>
      <c r="E23" s="137">
        <f t="shared" si="11"/>
        <v>25411.78557</v>
      </c>
      <c r="F23" s="137">
        <f t="shared" si="12"/>
        <v>24897.37695</v>
      </c>
      <c r="G23" s="137">
        <v>10288.172294</v>
      </c>
      <c r="H23" s="137" t="s">
        <v>12</v>
      </c>
      <c r="I23" s="137" t="s">
        <v>12</v>
      </c>
      <c r="J23" s="137" t="s">
        <v>12</v>
      </c>
      <c r="K23" s="139">
        <v>2.47</v>
      </c>
      <c r="L23" s="139">
        <v>2.42</v>
      </c>
      <c r="M23" s="137" t="s">
        <v>12</v>
      </c>
      <c r="N23" s="137" t="s">
        <v>2012</v>
      </c>
      <c r="O23" s="137" t="s">
        <v>2012</v>
      </c>
      <c r="P23" s="141" t="s">
        <v>12</v>
      </c>
      <c r="Q23" s="137" t="s">
        <v>12</v>
      </c>
      <c r="R23" s="139">
        <v>29.26</v>
      </c>
      <c r="S23" s="139">
        <v>2.57</v>
      </c>
      <c r="T23" s="14" t="s">
        <v>1410</v>
      </c>
      <c r="U23" s="14" t="s">
        <v>120</v>
      </c>
    </row>
    <row r="24" ht="37.5" customHeight="1">
      <c r="A24" s="136"/>
      <c r="B24" s="14" t="s">
        <v>2002</v>
      </c>
      <c r="C24" s="14" t="s">
        <v>1998</v>
      </c>
      <c r="D24" s="14" t="s">
        <v>9</v>
      </c>
      <c r="E24" s="137">
        <f t="shared" si="11"/>
        <v>79280.59701</v>
      </c>
      <c r="F24" s="137">
        <f t="shared" si="12"/>
        <v>63424.47761</v>
      </c>
      <c r="G24" s="137">
        <f>H24/I24</f>
        <v>40656.71642</v>
      </c>
      <c r="H24" s="138">
        <v>2724.0</v>
      </c>
      <c r="I24" s="14">
        <v>0.067</v>
      </c>
      <c r="J24" s="138">
        <v>742.0</v>
      </c>
      <c r="K24" s="139">
        <v>1.95</v>
      </c>
      <c r="L24" s="139">
        <v>1.56</v>
      </c>
      <c r="M24" s="139">
        <v>221.82</v>
      </c>
      <c r="N24" s="137">
        <f>O24*K24</f>
        <v>3941355.6</v>
      </c>
      <c r="O24" s="137">
        <f>J24*H24</f>
        <v>2021208</v>
      </c>
      <c r="P24" s="137">
        <f>Q24*K24</f>
        <v>1178263.476</v>
      </c>
      <c r="Q24" s="137">
        <f>M24*H24</f>
        <v>604237.68</v>
      </c>
      <c r="R24" s="139">
        <v>46.42</v>
      </c>
      <c r="S24" s="139">
        <v>4.58</v>
      </c>
      <c r="T24" s="14" t="s">
        <v>1334</v>
      </c>
      <c r="U24" s="14" t="s">
        <v>120</v>
      </c>
    </row>
    <row r="25" ht="37.5" customHeight="1">
      <c r="A25" s="136"/>
      <c r="B25" s="14" t="s">
        <v>2016</v>
      </c>
      <c r="C25" s="14" t="s">
        <v>30</v>
      </c>
      <c r="D25" s="14" t="s">
        <v>26</v>
      </c>
      <c r="E25" s="137">
        <f t="shared" si="11"/>
        <v>26650.13487</v>
      </c>
      <c r="F25" s="137">
        <f t="shared" si="12"/>
        <v>17536.01948</v>
      </c>
      <c r="G25" s="137">
        <v>11536.8549205</v>
      </c>
      <c r="H25" s="137" t="s">
        <v>12</v>
      </c>
      <c r="I25" s="137" t="s">
        <v>12</v>
      </c>
      <c r="J25" s="137" t="s">
        <v>12</v>
      </c>
      <c r="K25" s="139">
        <v>2.31</v>
      </c>
      <c r="L25" s="139">
        <v>1.52</v>
      </c>
      <c r="M25" s="137" t="s">
        <v>12</v>
      </c>
      <c r="N25" s="137" t="s">
        <v>2012</v>
      </c>
      <c r="O25" s="137" t="s">
        <v>2012</v>
      </c>
      <c r="P25" s="141" t="s">
        <v>12</v>
      </c>
      <c r="Q25" s="137" t="s">
        <v>12</v>
      </c>
      <c r="R25" s="139">
        <v>37.27</v>
      </c>
      <c r="S25" s="139">
        <v>2.04</v>
      </c>
      <c r="T25" s="14" t="s">
        <v>1412</v>
      </c>
      <c r="U25" s="14" t="s">
        <v>120</v>
      </c>
    </row>
    <row r="26" ht="37.5" customHeight="1">
      <c r="A26" s="136"/>
      <c r="B26" s="14" t="s">
        <v>1999</v>
      </c>
      <c r="C26" s="14" t="s">
        <v>2017</v>
      </c>
      <c r="D26" s="14" t="s">
        <v>9</v>
      </c>
      <c r="E26" s="137">
        <f t="shared" ref="E26:E27" si="21">G26/1.247*K26+G26/1.247*0.247*6</f>
        <v>108465.4086</v>
      </c>
      <c r="F26" s="137">
        <f t="shared" ref="F26:F27" si="22">G26/1.278*L26+G26/1.278*0.278*5</f>
        <v>93879.17544</v>
      </c>
      <c r="G26" s="137">
        <f t="shared" ref="G26:G33" si="23">H26/I26</f>
        <v>48970.44335</v>
      </c>
      <c r="H26" s="138">
        <v>109351.0</v>
      </c>
      <c r="I26" s="14">
        <v>2.233</v>
      </c>
      <c r="J26" s="138">
        <v>13.0</v>
      </c>
      <c r="K26" s="139">
        <v>1.28</v>
      </c>
      <c r="L26" s="139">
        <v>1.06</v>
      </c>
      <c r="M26" s="139">
        <v>4.85</v>
      </c>
      <c r="N26" s="137">
        <f t="shared" ref="N26:N27" si="24">O26/1.247*K26+O26/1.247*0.247*6</f>
        <v>3148642.346</v>
      </c>
      <c r="O26" s="137">
        <f t="shared" ref="O26:O29" si="25">J26*H26</f>
        <v>1421563</v>
      </c>
      <c r="P26" s="137">
        <f t="shared" ref="P26:P33" si="26">Q26*K26</f>
        <v>678851.008</v>
      </c>
      <c r="Q26" s="137">
        <f t="shared" ref="Q26:Q29" si="27">M26*H26</f>
        <v>530352.35</v>
      </c>
      <c r="R26" s="139" t="s">
        <v>12</v>
      </c>
      <c r="S26" s="139">
        <v>3.34</v>
      </c>
      <c r="T26" s="14" t="s">
        <v>2018</v>
      </c>
      <c r="U26" s="14" t="s">
        <v>120</v>
      </c>
    </row>
    <row r="27" ht="37.5" customHeight="1">
      <c r="A27" s="136"/>
      <c r="B27" s="14" t="s">
        <v>1999</v>
      </c>
      <c r="C27" s="14" t="s">
        <v>2019</v>
      </c>
      <c r="D27" s="14" t="s">
        <v>9</v>
      </c>
      <c r="E27" s="137">
        <f t="shared" si="21"/>
        <v>102841.3277</v>
      </c>
      <c r="F27" s="137">
        <f t="shared" si="22"/>
        <v>89011.41085</v>
      </c>
      <c r="G27" s="137">
        <f t="shared" si="23"/>
        <v>46431.2584</v>
      </c>
      <c r="H27" s="138">
        <v>103681.0</v>
      </c>
      <c r="I27" s="14">
        <v>2.233</v>
      </c>
      <c r="J27" s="138">
        <v>13.0</v>
      </c>
      <c r="K27" s="139">
        <v>1.28</v>
      </c>
      <c r="L27" s="139">
        <v>1.06</v>
      </c>
      <c r="M27" s="139">
        <v>4.85</v>
      </c>
      <c r="N27" s="137">
        <f t="shared" si="24"/>
        <v>2985380.903</v>
      </c>
      <c r="O27" s="137">
        <f t="shared" si="25"/>
        <v>1347853</v>
      </c>
      <c r="P27" s="137">
        <f t="shared" si="26"/>
        <v>643651.648</v>
      </c>
      <c r="Q27" s="137">
        <f t="shared" si="27"/>
        <v>502852.85</v>
      </c>
      <c r="R27" s="139" t="s">
        <v>12</v>
      </c>
      <c r="S27" s="139">
        <v>3.52</v>
      </c>
      <c r="T27" s="14" t="s">
        <v>2020</v>
      </c>
      <c r="U27" s="14" t="s">
        <v>120</v>
      </c>
    </row>
    <row r="28" ht="37.5" customHeight="1">
      <c r="A28" s="136"/>
      <c r="B28" s="14" t="s">
        <v>42</v>
      </c>
      <c r="C28" s="14" t="s">
        <v>16</v>
      </c>
      <c r="D28" s="14" t="s">
        <v>37</v>
      </c>
      <c r="E28" s="137">
        <f t="shared" ref="E28:E81" si="28">G28*K28</f>
        <v>57569.63</v>
      </c>
      <c r="F28" s="137">
        <f t="shared" ref="F28:F81" si="29">G28*L28</f>
        <v>51771.25</v>
      </c>
      <c r="G28" s="137">
        <f t="shared" si="23"/>
        <v>41417</v>
      </c>
      <c r="H28" s="138">
        <v>41417.0</v>
      </c>
      <c r="I28" s="14">
        <v>1.0</v>
      </c>
      <c r="J28" s="138">
        <v>26.0</v>
      </c>
      <c r="K28" s="139">
        <v>1.39</v>
      </c>
      <c r="L28" s="139">
        <v>1.25</v>
      </c>
      <c r="M28" s="139">
        <v>8.89</v>
      </c>
      <c r="N28" s="137">
        <f t="shared" ref="N28:N33" si="30">O28*K28</f>
        <v>1496810.38</v>
      </c>
      <c r="O28" s="137">
        <f t="shared" si="25"/>
        <v>1076842</v>
      </c>
      <c r="P28" s="137">
        <f t="shared" si="26"/>
        <v>511794.0107</v>
      </c>
      <c r="Q28" s="137">
        <f t="shared" si="27"/>
        <v>368197.13</v>
      </c>
      <c r="R28" s="139">
        <v>4.62</v>
      </c>
      <c r="S28" s="139" t="s">
        <v>12</v>
      </c>
      <c r="T28" s="14" t="s">
        <v>133</v>
      </c>
      <c r="U28" s="14" t="s">
        <v>120</v>
      </c>
    </row>
    <row r="29" ht="37.5" customHeight="1">
      <c r="A29" s="136"/>
      <c r="B29" s="14" t="s">
        <v>2021</v>
      </c>
      <c r="C29" s="14" t="s">
        <v>1998</v>
      </c>
      <c r="D29" s="14" t="s">
        <v>37</v>
      </c>
      <c r="E29" s="137">
        <f t="shared" si="28"/>
        <v>165974.0416</v>
      </c>
      <c r="F29" s="137">
        <f t="shared" si="29"/>
        <v>114012.5635</v>
      </c>
      <c r="G29" s="137">
        <f t="shared" si="23"/>
        <v>50448.03695</v>
      </c>
      <c r="H29" s="138">
        <v>21844.0</v>
      </c>
      <c r="I29" s="14">
        <v>0.433</v>
      </c>
      <c r="J29" s="138">
        <v>41.0</v>
      </c>
      <c r="K29" s="139">
        <v>3.29</v>
      </c>
      <c r="L29" s="139">
        <v>2.26</v>
      </c>
      <c r="M29" s="139">
        <v>13.37</v>
      </c>
      <c r="N29" s="137">
        <f t="shared" si="30"/>
        <v>2946537.16</v>
      </c>
      <c r="O29" s="137">
        <f t="shared" si="25"/>
        <v>895604</v>
      </c>
      <c r="P29" s="137">
        <f t="shared" si="26"/>
        <v>960858.5812</v>
      </c>
      <c r="Q29" s="137">
        <f t="shared" si="27"/>
        <v>292054.28</v>
      </c>
      <c r="R29" s="139" t="s">
        <v>12</v>
      </c>
      <c r="S29" s="139">
        <v>2.72</v>
      </c>
      <c r="T29" s="14" t="s">
        <v>182</v>
      </c>
      <c r="U29" s="14" t="s">
        <v>120</v>
      </c>
    </row>
    <row r="30" ht="37.5" customHeight="1">
      <c r="A30" s="136"/>
      <c r="B30" s="14" t="s">
        <v>21</v>
      </c>
      <c r="C30" s="14" t="s">
        <v>2022</v>
      </c>
      <c r="D30" s="14" t="s">
        <v>9</v>
      </c>
      <c r="E30" s="137">
        <f t="shared" si="28"/>
        <v>70347.08011</v>
      </c>
      <c r="F30" s="137">
        <f t="shared" si="29"/>
        <v>55711.11042</v>
      </c>
      <c r="G30" s="137">
        <f t="shared" si="23"/>
        <v>47212.80544</v>
      </c>
      <c r="H30" s="138">
        <v>152639.0</v>
      </c>
      <c r="I30" s="14">
        <v>3.233</v>
      </c>
      <c r="J30" s="138">
        <v>68.0</v>
      </c>
      <c r="K30" s="139">
        <v>1.49</v>
      </c>
      <c r="L30" s="139">
        <v>1.18</v>
      </c>
      <c r="M30" s="139">
        <v>26.9</v>
      </c>
      <c r="N30" s="137">
        <f t="shared" si="30"/>
        <v>3093076.696</v>
      </c>
      <c r="O30" s="137">
        <f>J30/5*H30</f>
        <v>2075890.4</v>
      </c>
      <c r="P30" s="137">
        <f t="shared" si="26"/>
        <v>1223584.752</v>
      </c>
      <c r="Q30" s="137">
        <f>M30/5*H30</f>
        <v>821197.82</v>
      </c>
      <c r="R30" s="139" t="s">
        <v>12</v>
      </c>
      <c r="S30" s="139" t="s">
        <v>12</v>
      </c>
      <c r="T30" s="14" t="s">
        <v>1341</v>
      </c>
      <c r="U30" s="14" t="s">
        <v>120</v>
      </c>
    </row>
    <row r="31" ht="37.5" customHeight="1">
      <c r="A31" s="136"/>
      <c r="B31" s="14" t="s">
        <v>21</v>
      </c>
      <c r="C31" s="14" t="s">
        <v>2023</v>
      </c>
      <c r="D31" s="14" t="s">
        <v>9</v>
      </c>
      <c r="E31" s="137">
        <f t="shared" si="28"/>
        <v>76312.93991</v>
      </c>
      <c r="F31" s="137">
        <f t="shared" si="29"/>
        <v>60435.75107</v>
      </c>
      <c r="G31" s="137">
        <f t="shared" si="23"/>
        <v>51216.7382</v>
      </c>
      <c r="H31" s="138">
        <v>23867.0</v>
      </c>
      <c r="I31" s="14">
        <v>0.466</v>
      </c>
      <c r="J31" s="138">
        <v>90.0</v>
      </c>
      <c r="K31" s="139">
        <v>1.49</v>
      </c>
      <c r="L31" s="139">
        <v>1.18</v>
      </c>
      <c r="M31" s="139">
        <v>35.14</v>
      </c>
      <c r="N31" s="137">
        <f t="shared" si="30"/>
        <v>3200564.7</v>
      </c>
      <c r="O31" s="137">
        <f t="shared" ref="O31:O33" si="31">J31*H31</f>
        <v>2148030</v>
      </c>
      <c r="P31" s="137">
        <f t="shared" si="26"/>
        <v>1249642.706</v>
      </c>
      <c r="Q31" s="137">
        <f t="shared" ref="Q31:Q33" si="32">M31*H31</f>
        <v>838686.38</v>
      </c>
      <c r="R31" s="139" t="s">
        <v>12</v>
      </c>
      <c r="S31" s="139" t="s">
        <v>12</v>
      </c>
      <c r="T31" s="14" t="s">
        <v>1347</v>
      </c>
      <c r="U31" s="14" t="s">
        <v>120</v>
      </c>
    </row>
    <row r="32" ht="37.5" customHeight="1">
      <c r="A32" s="136"/>
      <c r="B32" s="14" t="s">
        <v>1997</v>
      </c>
      <c r="C32" s="14" t="s">
        <v>11</v>
      </c>
      <c r="D32" s="14" t="s">
        <v>9</v>
      </c>
      <c r="E32" s="137">
        <f t="shared" si="28"/>
        <v>108710.5814</v>
      </c>
      <c r="F32" s="137">
        <f t="shared" si="29"/>
        <v>78182.26744</v>
      </c>
      <c r="G32" s="137">
        <f t="shared" si="23"/>
        <v>74459.30233</v>
      </c>
      <c r="H32" s="138">
        <v>38421.0</v>
      </c>
      <c r="I32" s="14">
        <v>0.516</v>
      </c>
      <c r="J32" s="138">
        <v>31.0</v>
      </c>
      <c r="K32" s="139">
        <v>1.46</v>
      </c>
      <c r="L32" s="139">
        <v>1.05</v>
      </c>
      <c r="M32" s="139">
        <v>9.51</v>
      </c>
      <c r="N32" s="137">
        <f t="shared" si="30"/>
        <v>1738934.46</v>
      </c>
      <c r="O32" s="137">
        <f t="shared" si="31"/>
        <v>1191051</v>
      </c>
      <c r="P32" s="137">
        <f t="shared" si="26"/>
        <v>533460.2166</v>
      </c>
      <c r="Q32" s="137">
        <f t="shared" si="32"/>
        <v>365383.71</v>
      </c>
      <c r="R32" s="139" t="s">
        <v>12</v>
      </c>
      <c r="S32" s="139">
        <v>3.25</v>
      </c>
      <c r="T32" s="14" t="s">
        <v>745</v>
      </c>
      <c r="U32" s="14" t="s">
        <v>136</v>
      </c>
    </row>
    <row r="33" ht="37.5" customHeight="1">
      <c r="A33" s="136"/>
      <c r="B33" s="14" t="s">
        <v>2024</v>
      </c>
      <c r="C33" s="14" t="s">
        <v>1998</v>
      </c>
      <c r="D33" s="14" t="s">
        <v>37</v>
      </c>
      <c r="E33" s="137">
        <f t="shared" si="28"/>
        <v>40553</v>
      </c>
      <c r="F33" s="137">
        <f t="shared" si="29"/>
        <v>37900</v>
      </c>
      <c r="G33" s="137">
        <f t="shared" si="23"/>
        <v>37900</v>
      </c>
      <c r="H33" s="138">
        <v>36005.0</v>
      </c>
      <c r="I33" s="14">
        <v>0.95</v>
      </c>
      <c r="J33" s="138">
        <v>29.0</v>
      </c>
      <c r="K33" s="139">
        <v>1.07</v>
      </c>
      <c r="L33" s="139">
        <v>1.0</v>
      </c>
      <c r="M33" s="139">
        <v>9.03</v>
      </c>
      <c r="N33" s="137">
        <f t="shared" si="30"/>
        <v>1117235.15</v>
      </c>
      <c r="O33" s="137">
        <f t="shared" si="31"/>
        <v>1044145</v>
      </c>
      <c r="P33" s="137">
        <f t="shared" si="26"/>
        <v>347883.9105</v>
      </c>
      <c r="Q33" s="137">
        <f t="shared" si="32"/>
        <v>325125.15</v>
      </c>
      <c r="R33" s="139">
        <v>15.05</v>
      </c>
      <c r="S33" s="139">
        <v>2.05</v>
      </c>
      <c r="T33" s="14" t="s">
        <v>287</v>
      </c>
      <c r="U33" s="14" t="s">
        <v>136</v>
      </c>
    </row>
    <row r="34" ht="37.5" customHeight="1">
      <c r="A34" s="136"/>
      <c r="B34" s="14" t="s">
        <v>2016</v>
      </c>
      <c r="C34" s="14" t="s">
        <v>13</v>
      </c>
      <c r="D34" s="14" t="s">
        <v>26</v>
      </c>
      <c r="E34" s="137">
        <f t="shared" si="28"/>
        <v>24901.00664</v>
      </c>
      <c r="F34" s="137">
        <f t="shared" si="29"/>
        <v>16385.07796</v>
      </c>
      <c r="G34" s="137">
        <v>10779.6565545</v>
      </c>
      <c r="H34" s="137" t="s">
        <v>12</v>
      </c>
      <c r="I34" s="137" t="s">
        <v>12</v>
      </c>
      <c r="J34" s="137" t="s">
        <v>12</v>
      </c>
      <c r="K34" s="139">
        <v>2.31</v>
      </c>
      <c r="L34" s="139">
        <v>1.52</v>
      </c>
      <c r="M34" s="137" t="s">
        <v>12</v>
      </c>
      <c r="N34" s="137" t="s">
        <v>2012</v>
      </c>
      <c r="O34" s="137" t="s">
        <v>2012</v>
      </c>
      <c r="P34" s="141" t="s">
        <v>12</v>
      </c>
      <c r="Q34" s="137" t="s">
        <v>12</v>
      </c>
      <c r="R34" s="139">
        <v>34.61</v>
      </c>
      <c r="S34" s="139">
        <v>2.0</v>
      </c>
      <c r="T34" s="14" t="s">
        <v>2025</v>
      </c>
      <c r="U34" s="14" t="s">
        <v>136</v>
      </c>
    </row>
    <row r="35" ht="37.5" customHeight="1">
      <c r="A35" s="136"/>
      <c r="B35" s="14" t="s">
        <v>2016</v>
      </c>
      <c r="C35" s="14" t="s">
        <v>32</v>
      </c>
      <c r="D35" s="14" t="s">
        <v>26</v>
      </c>
      <c r="E35" s="137">
        <f t="shared" si="28"/>
        <v>24170.86596</v>
      </c>
      <c r="F35" s="137">
        <f t="shared" si="29"/>
        <v>15904.63907</v>
      </c>
      <c r="G35" s="137">
        <v>10463.5783375</v>
      </c>
      <c r="H35" s="137" t="s">
        <v>12</v>
      </c>
      <c r="I35" s="137" t="s">
        <v>12</v>
      </c>
      <c r="J35" s="137" t="s">
        <v>12</v>
      </c>
      <c r="K35" s="139">
        <v>2.31</v>
      </c>
      <c r="L35" s="139">
        <v>1.52</v>
      </c>
      <c r="M35" s="137" t="s">
        <v>12</v>
      </c>
      <c r="N35" s="137" t="s">
        <v>2012</v>
      </c>
      <c r="O35" s="137" t="s">
        <v>2012</v>
      </c>
      <c r="P35" s="141" t="s">
        <v>12</v>
      </c>
      <c r="Q35" s="137" t="s">
        <v>12</v>
      </c>
      <c r="R35" s="139">
        <v>37.27</v>
      </c>
      <c r="S35" s="139">
        <v>2.16</v>
      </c>
      <c r="T35" s="14" t="s">
        <v>2026</v>
      </c>
      <c r="U35" s="14" t="s">
        <v>136</v>
      </c>
    </row>
    <row r="36" ht="37.5" customHeight="1">
      <c r="A36" s="136"/>
      <c r="B36" s="14" t="s">
        <v>2016</v>
      </c>
      <c r="C36" s="14" t="s">
        <v>33</v>
      </c>
      <c r="D36" s="14" t="s">
        <v>26</v>
      </c>
      <c r="E36" s="137">
        <f t="shared" si="28"/>
        <v>24098.65424</v>
      </c>
      <c r="F36" s="137">
        <f t="shared" si="29"/>
        <v>15857.12314</v>
      </c>
      <c r="G36" s="137">
        <v>10432.3178545</v>
      </c>
      <c r="H36" s="137" t="s">
        <v>12</v>
      </c>
      <c r="I36" s="137" t="s">
        <v>12</v>
      </c>
      <c r="J36" s="137" t="s">
        <v>12</v>
      </c>
      <c r="K36" s="139">
        <v>2.31</v>
      </c>
      <c r="L36" s="139">
        <v>1.52</v>
      </c>
      <c r="M36" s="137" t="s">
        <v>12</v>
      </c>
      <c r="N36" s="137" t="s">
        <v>2012</v>
      </c>
      <c r="O36" s="137" t="s">
        <v>2012</v>
      </c>
      <c r="P36" s="141" t="s">
        <v>12</v>
      </c>
      <c r="Q36" s="137" t="s">
        <v>12</v>
      </c>
      <c r="R36" s="139">
        <v>33.57</v>
      </c>
      <c r="S36" s="139">
        <v>1.68</v>
      </c>
      <c r="T36" s="14" t="s">
        <v>2027</v>
      </c>
      <c r="U36" s="14" t="s">
        <v>136</v>
      </c>
    </row>
    <row r="37" ht="37.5" customHeight="1">
      <c r="A37" s="136"/>
      <c r="B37" s="14" t="s">
        <v>2016</v>
      </c>
      <c r="C37" s="14" t="s">
        <v>24</v>
      </c>
      <c r="D37" s="14" t="s">
        <v>26</v>
      </c>
      <c r="E37" s="137">
        <f t="shared" si="28"/>
        <v>24319.30115</v>
      </c>
      <c r="F37" s="137">
        <f t="shared" si="29"/>
        <v>16002.31072</v>
      </c>
      <c r="G37" s="137">
        <v>10527.835997</v>
      </c>
      <c r="H37" s="137" t="s">
        <v>12</v>
      </c>
      <c r="I37" s="137" t="s">
        <v>12</v>
      </c>
      <c r="J37" s="137" t="s">
        <v>12</v>
      </c>
      <c r="K37" s="139">
        <v>2.31</v>
      </c>
      <c r="L37" s="139">
        <v>1.52</v>
      </c>
      <c r="M37" s="137" t="s">
        <v>12</v>
      </c>
      <c r="N37" s="137" t="s">
        <v>2012</v>
      </c>
      <c r="O37" s="137" t="s">
        <v>2012</v>
      </c>
      <c r="P37" s="141" t="s">
        <v>12</v>
      </c>
      <c r="Q37" s="137" t="s">
        <v>12</v>
      </c>
      <c r="R37" s="139">
        <v>31.41</v>
      </c>
      <c r="S37" s="139">
        <v>1.76</v>
      </c>
      <c r="T37" s="14" t="s">
        <v>2028</v>
      </c>
      <c r="U37" s="14" t="s">
        <v>136</v>
      </c>
    </row>
    <row r="38" ht="37.5" customHeight="1">
      <c r="A38" s="136"/>
      <c r="B38" s="14" t="s">
        <v>2016</v>
      </c>
      <c r="C38" s="14" t="s">
        <v>1998</v>
      </c>
      <c r="D38" s="14" t="s">
        <v>26</v>
      </c>
      <c r="E38" s="137">
        <f t="shared" si="28"/>
        <v>25578.99442</v>
      </c>
      <c r="F38" s="137">
        <f t="shared" si="29"/>
        <v>16831.19979</v>
      </c>
      <c r="G38" s="137">
        <v>11073.157755999999</v>
      </c>
      <c r="H38" s="137" t="s">
        <v>12</v>
      </c>
      <c r="I38" s="137" t="s">
        <v>12</v>
      </c>
      <c r="J38" s="137" t="s">
        <v>12</v>
      </c>
      <c r="K38" s="139">
        <v>2.31</v>
      </c>
      <c r="L38" s="139">
        <v>1.52</v>
      </c>
      <c r="M38" s="137" t="s">
        <v>12</v>
      </c>
      <c r="N38" s="137" t="s">
        <v>2012</v>
      </c>
      <c r="O38" s="137" t="s">
        <v>2012</v>
      </c>
      <c r="P38" s="141" t="s">
        <v>12</v>
      </c>
      <c r="Q38" s="137" t="s">
        <v>12</v>
      </c>
      <c r="R38" s="139">
        <v>31.54</v>
      </c>
      <c r="S38" s="139">
        <v>2.21</v>
      </c>
      <c r="T38" s="14" t="s">
        <v>2029</v>
      </c>
      <c r="U38" s="14" t="s">
        <v>136</v>
      </c>
    </row>
    <row r="39" ht="37.5" customHeight="1">
      <c r="A39" s="136"/>
      <c r="B39" s="14" t="s">
        <v>42</v>
      </c>
      <c r="C39" s="14" t="s">
        <v>30</v>
      </c>
      <c r="D39" s="14" t="s">
        <v>37</v>
      </c>
      <c r="E39" s="137">
        <f t="shared" si="28"/>
        <v>66716.66267</v>
      </c>
      <c r="F39" s="137">
        <f t="shared" si="29"/>
        <v>59996.9988</v>
      </c>
      <c r="G39" s="137">
        <f t="shared" ref="G39:G44" si="33">H39/I39</f>
        <v>47997.59904</v>
      </c>
      <c r="H39" s="138">
        <v>39982.0</v>
      </c>
      <c r="I39" s="14">
        <v>0.833</v>
      </c>
      <c r="J39" s="138">
        <v>46.0</v>
      </c>
      <c r="K39" s="139">
        <v>1.39</v>
      </c>
      <c r="L39" s="139">
        <v>1.25</v>
      </c>
      <c r="M39" s="139">
        <v>14.61</v>
      </c>
      <c r="N39" s="137">
        <f t="shared" ref="N39:N44" si="34">O39*K39</f>
        <v>1278224.54</v>
      </c>
      <c r="O39" s="137">
        <f>J39*H39/2</f>
        <v>919586</v>
      </c>
      <c r="P39" s="137">
        <f t="shared" ref="P39:P44" si="35">Q39*K39</f>
        <v>405975.2289</v>
      </c>
      <c r="Q39" s="137">
        <f>M39/2*H39</f>
        <v>292068.51</v>
      </c>
      <c r="R39" s="139" t="s">
        <v>23</v>
      </c>
      <c r="S39" s="139" t="s">
        <v>23</v>
      </c>
      <c r="T39" s="14" t="s">
        <v>521</v>
      </c>
      <c r="U39" s="14" t="s">
        <v>136</v>
      </c>
    </row>
    <row r="40" ht="37.5" customHeight="1">
      <c r="A40" s="136"/>
      <c r="B40" s="14" t="s">
        <v>42</v>
      </c>
      <c r="C40" s="14" t="s">
        <v>24</v>
      </c>
      <c r="D40" s="14" t="s">
        <v>37</v>
      </c>
      <c r="E40" s="137">
        <f t="shared" si="28"/>
        <v>68260.91429</v>
      </c>
      <c r="F40" s="137">
        <f t="shared" si="29"/>
        <v>61385.71429</v>
      </c>
      <c r="G40" s="137">
        <f t="shared" si="33"/>
        <v>49108.57143</v>
      </c>
      <c r="H40" s="138">
        <v>34376.0</v>
      </c>
      <c r="I40" s="14">
        <v>0.7</v>
      </c>
      <c r="J40" s="138">
        <v>22.0</v>
      </c>
      <c r="K40" s="139">
        <v>1.39</v>
      </c>
      <c r="L40" s="139">
        <v>1.25</v>
      </c>
      <c r="M40" s="139">
        <v>7.69</v>
      </c>
      <c r="N40" s="137">
        <f t="shared" si="34"/>
        <v>1051218.08</v>
      </c>
      <c r="O40" s="137">
        <f t="shared" ref="O40:O42" si="36">J40*H40</f>
        <v>756272</v>
      </c>
      <c r="P40" s="137">
        <f t="shared" si="35"/>
        <v>367448.5016</v>
      </c>
      <c r="Q40" s="137">
        <f t="shared" ref="Q40:Q42" si="37">M40*H40</f>
        <v>264351.44</v>
      </c>
      <c r="R40" s="139">
        <v>5.06</v>
      </c>
      <c r="S40" s="139" t="s">
        <v>12</v>
      </c>
      <c r="T40" s="14" t="s">
        <v>130</v>
      </c>
      <c r="U40" s="14" t="s">
        <v>136</v>
      </c>
    </row>
    <row r="41" ht="37.5" customHeight="1">
      <c r="A41" s="136"/>
      <c r="B41" s="14" t="s">
        <v>42</v>
      </c>
      <c r="C41" s="14" t="s">
        <v>2030</v>
      </c>
      <c r="D41" s="14" t="s">
        <v>37</v>
      </c>
      <c r="E41" s="137">
        <f t="shared" si="28"/>
        <v>60565.95438</v>
      </c>
      <c r="F41" s="137">
        <f t="shared" si="29"/>
        <v>54465.78631</v>
      </c>
      <c r="G41" s="137">
        <f t="shared" si="33"/>
        <v>43572.62905</v>
      </c>
      <c r="H41" s="138">
        <v>36296.0</v>
      </c>
      <c r="I41" s="14">
        <v>0.833</v>
      </c>
      <c r="J41" s="138">
        <v>25.0</v>
      </c>
      <c r="K41" s="139">
        <v>1.39</v>
      </c>
      <c r="L41" s="139">
        <v>1.25</v>
      </c>
      <c r="M41" s="139">
        <v>8.58</v>
      </c>
      <c r="N41" s="137">
        <f t="shared" si="34"/>
        <v>1261286</v>
      </c>
      <c r="O41" s="137">
        <f t="shared" si="36"/>
        <v>907400</v>
      </c>
      <c r="P41" s="137">
        <f t="shared" si="35"/>
        <v>432873.3552</v>
      </c>
      <c r="Q41" s="137">
        <f t="shared" si="37"/>
        <v>311419.68</v>
      </c>
      <c r="R41" s="139">
        <v>9.33</v>
      </c>
      <c r="S41" s="139" t="s">
        <v>12</v>
      </c>
      <c r="T41" s="14" t="s">
        <v>108</v>
      </c>
      <c r="U41" s="14" t="s">
        <v>136</v>
      </c>
    </row>
    <row r="42" ht="37.5" customHeight="1">
      <c r="A42" s="136"/>
      <c r="B42" s="14" t="s">
        <v>2021</v>
      </c>
      <c r="C42" s="14" t="s">
        <v>16</v>
      </c>
      <c r="D42" s="14" t="s">
        <v>37</v>
      </c>
      <c r="E42" s="137">
        <f t="shared" si="28"/>
        <v>139364.8739</v>
      </c>
      <c r="F42" s="137">
        <f t="shared" si="29"/>
        <v>95733.92557</v>
      </c>
      <c r="G42" s="137">
        <f t="shared" si="33"/>
        <v>42360.14406</v>
      </c>
      <c r="H42" s="138">
        <v>35286.0</v>
      </c>
      <c r="I42" s="14">
        <v>0.833</v>
      </c>
      <c r="J42" s="138">
        <v>27.0</v>
      </c>
      <c r="K42" s="139">
        <v>3.29</v>
      </c>
      <c r="L42" s="139">
        <v>2.26</v>
      </c>
      <c r="M42" s="139">
        <v>9.4</v>
      </c>
      <c r="N42" s="137">
        <f t="shared" si="34"/>
        <v>3134455.38</v>
      </c>
      <c r="O42" s="137">
        <f t="shared" si="36"/>
        <v>952722</v>
      </c>
      <c r="P42" s="137">
        <f t="shared" si="35"/>
        <v>1091254.836</v>
      </c>
      <c r="Q42" s="137">
        <f t="shared" si="37"/>
        <v>331688.4</v>
      </c>
      <c r="R42" s="139" t="s">
        <v>12</v>
      </c>
      <c r="S42" s="139">
        <v>3.2</v>
      </c>
      <c r="T42" s="14" t="s">
        <v>185</v>
      </c>
      <c r="U42" s="14" t="s">
        <v>136</v>
      </c>
    </row>
    <row r="43" ht="37.5" customHeight="1">
      <c r="A43" s="136"/>
      <c r="B43" s="14" t="s">
        <v>21</v>
      </c>
      <c r="C43" s="14" t="s">
        <v>2031</v>
      </c>
      <c r="D43" s="14" t="s">
        <v>9</v>
      </c>
      <c r="E43" s="137">
        <f t="shared" si="28"/>
        <v>74274.06182</v>
      </c>
      <c r="F43" s="137">
        <f t="shared" si="29"/>
        <v>58821.06909</v>
      </c>
      <c r="G43" s="137">
        <f t="shared" si="33"/>
        <v>49848.36364</v>
      </c>
      <c r="H43" s="138">
        <v>137083.0</v>
      </c>
      <c r="I43" s="14">
        <v>2.75</v>
      </c>
      <c r="J43" s="138">
        <v>77.0</v>
      </c>
      <c r="K43" s="139">
        <v>1.49</v>
      </c>
      <c r="L43" s="139">
        <v>1.18</v>
      </c>
      <c r="M43" s="139">
        <v>30.45</v>
      </c>
      <c r="N43" s="137">
        <f t="shared" si="34"/>
        <v>1965941.574</v>
      </c>
      <c r="O43" s="137">
        <f>J43/8*H43</f>
        <v>1319423.875</v>
      </c>
      <c r="P43" s="137">
        <f t="shared" si="35"/>
        <v>777440.5314</v>
      </c>
      <c r="Q43" s="137">
        <f>M43/8*H43</f>
        <v>521772.1688</v>
      </c>
      <c r="R43" s="139" t="s">
        <v>12</v>
      </c>
      <c r="S43" s="139" t="s">
        <v>12</v>
      </c>
      <c r="T43" s="14" t="s">
        <v>2032</v>
      </c>
      <c r="U43" s="14" t="s">
        <v>136</v>
      </c>
    </row>
    <row r="44" ht="37.5" customHeight="1">
      <c r="A44" s="136"/>
      <c r="B44" s="14" t="s">
        <v>2033</v>
      </c>
      <c r="C44" s="14" t="s">
        <v>13</v>
      </c>
      <c r="D44" s="14" t="s">
        <v>37</v>
      </c>
      <c r="E44" s="137">
        <f t="shared" si="28"/>
        <v>26366.71642</v>
      </c>
      <c r="F44" s="137">
        <f t="shared" si="29"/>
        <v>28235.22388</v>
      </c>
      <c r="G44" s="137">
        <f t="shared" si="33"/>
        <v>20761.19403</v>
      </c>
      <c r="H44" s="138">
        <v>1391.0</v>
      </c>
      <c r="I44" s="14">
        <v>0.067</v>
      </c>
      <c r="J44" s="138">
        <v>687.0</v>
      </c>
      <c r="K44" s="139">
        <v>1.27</v>
      </c>
      <c r="L44" s="139">
        <v>1.36</v>
      </c>
      <c r="M44" s="139">
        <v>298.48</v>
      </c>
      <c r="N44" s="137">
        <f t="shared" si="34"/>
        <v>1213633.59</v>
      </c>
      <c r="O44" s="137">
        <f>J44*H44</f>
        <v>955617</v>
      </c>
      <c r="P44" s="137">
        <f t="shared" si="35"/>
        <v>527285.8136</v>
      </c>
      <c r="Q44" s="137">
        <f>M44*H44</f>
        <v>415185.68</v>
      </c>
      <c r="R44" s="139">
        <v>35.54</v>
      </c>
      <c r="S44" s="139">
        <v>2.03</v>
      </c>
      <c r="T44" s="14" t="s">
        <v>878</v>
      </c>
      <c r="U44" s="14" t="s">
        <v>136</v>
      </c>
    </row>
    <row r="45" ht="37.5" customHeight="1">
      <c r="A45" s="136"/>
      <c r="B45" s="14" t="s">
        <v>2010</v>
      </c>
      <c r="C45" s="14" t="s">
        <v>13</v>
      </c>
      <c r="D45" s="14" t="s">
        <v>26</v>
      </c>
      <c r="E45" s="137">
        <f t="shared" si="28"/>
        <v>19671.73568</v>
      </c>
      <c r="F45" s="137">
        <f t="shared" si="29"/>
        <v>16594.59267</v>
      </c>
      <c r="G45" s="137">
        <v>10989.796467999999</v>
      </c>
      <c r="H45" s="137" t="s">
        <v>12</v>
      </c>
      <c r="I45" s="137" t="s">
        <v>12</v>
      </c>
      <c r="J45" s="137" t="s">
        <v>12</v>
      </c>
      <c r="K45" s="139">
        <v>1.79</v>
      </c>
      <c r="L45" s="139">
        <v>1.51</v>
      </c>
      <c r="M45" s="137" t="s">
        <v>12</v>
      </c>
      <c r="N45" s="137" t="s">
        <v>2012</v>
      </c>
      <c r="O45" s="137" t="s">
        <v>2012</v>
      </c>
      <c r="P45" s="141" t="s">
        <v>12</v>
      </c>
      <c r="Q45" s="137" t="s">
        <v>12</v>
      </c>
      <c r="R45" s="139">
        <v>25.2</v>
      </c>
      <c r="S45" s="139">
        <v>1.76</v>
      </c>
      <c r="T45" s="14" t="s">
        <v>2034</v>
      </c>
      <c r="U45" s="14" t="s">
        <v>167</v>
      </c>
    </row>
    <row r="46" ht="37.5" customHeight="1">
      <c r="A46" s="136"/>
      <c r="B46" s="14" t="s">
        <v>2010</v>
      </c>
      <c r="C46" s="14" t="s">
        <v>24</v>
      </c>
      <c r="D46" s="14" t="s">
        <v>26</v>
      </c>
      <c r="E46" s="137">
        <f t="shared" si="28"/>
        <v>21250.94581</v>
      </c>
      <c r="F46" s="137">
        <f t="shared" si="29"/>
        <v>17926.77552</v>
      </c>
      <c r="G46" s="137">
        <v>11872.036766</v>
      </c>
      <c r="H46" s="137" t="s">
        <v>12</v>
      </c>
      <c r="I46" s="137" t="s">
        <v>12</v>
      </c>
      <c r="J46" s="137" t="s">
        <v>12</v>
      </c>
      <c r="K46" s="139">
        <v>1.79</v>
      </c>
      <c r="L46" s="139">
        <v>1.51</v>
      </c>
      <c r="M46" s="137" t="s">
        <v>12</v>
      </c>
      <c r="N46" s="137" t="s">
        <v>2012</v>
      </c>
      <c r="O46" s="137" t="s">
        <v>2012</v>
      </c>
      <c r="P46" s="141" t="s">
        <v>12</v>
      </c>
      <c r="Q46" s="137" t="s">
        <v>12</v>
      </c>
      <c r="R46" s="139">
        <v>24.0</v>
      </c>
      <c r="S46" s="139">
        <v>1.79</v>
      </c>
      <c r="T46" s="14" t="s">
        <v>2035</v>
      </c>
      <c r="U46" s="14" t="s">
        <v>167</v>
      </c>
    </row>
    <row r="47" ht="37.5" customHeight="1">
      <c r="A47" s="136"/>
      <c r="B47" s="14" t="s">
        <v>2010</v>
      </c>
      <c r="C47" s="14" t="s">
        <v>1998</v>
      </c>
      <c r="D47" s="14" t="s">
        <v>26</v>
      </c>
      <c r="E47" s="137">
        <f t="shared" si="28"/>
        <v>21250.94581</v>
      </c>
      <c r="F47" s="137">
        <f t="shared" si="29"/>
        <v>17926.77552</v>
      </c>
      <c r="G47" s="137">
        <v>11872.036766</v>
      </c>
      <c r="H47" s="137" t="s">
        <v>12</v>
      </c>
      <c r="I47" s="137" t="s">
        <v>12</v>
      </c>
      <c r="J47" s="137" t="s">
        <v>12</v>
      </c>
      <c r="K47" s="139">
        <v>1.79</v>
      </c>
      <c r="L47" s="139">
        <v>1.51</v>
      </c>
      <c r="M47" s="137" t="s">
        <v>12</v>
      </c>
      <c r="N47" s="137" t="s">
        <v>2012</v>
      </c>
      <c r="O47" s="137" t="s">
        <v>2012</v>
      </c>
      <c r="P47" s="141" t="s">
        <v>12</v>
      </c>
      <c r="Q47" s="137" t="s">
        <v>12</v>
      </c>
      <c r="R47" s="139">
        <v>24.0</v>
      </c>
      <c r="S47" s="139">
        <v>1.83</v>
      </c>
      <c r="T47" s="14" t="s">
        <v>2036</v>
      </c>
      <c r="U47" s="14" t="s">
        <v>167</v>
      </c>
    </row>
    <row r="48" ht="37.5" customHeight="1">
      <c r="A48" s="136"/>
      <c r="B48" s="14" t="s">
        <v>28</v>
      </c>
      <c r="C48" s="14" t="s">
        <v>24</v>
      </c>
      <c r="D48" s="14" t="s">
        <v>26</v>
      </c>
      <c r="E48" s="137">
        <f t="shared" si="28"/>
        <v>18436.7382</v>
      </c>
      <c r="F48" s="137">
        <f t="shared" si="29"/>
        <v>12536.98197</v>
      </c>
      <c r="G48" s="137">
        <v>9218.369098</v>
      </c>
      <c r="H48" s="137" t="s">
        <v>12</v>
      </c>
      <c r="I48" s="137" t="s">
        <v>12</v>
      </c>
      <c r="J48" s="137" t="s">
        <v>12</v>
      </c>
      <c r="K48" s="139">
        <v>2.0</v>
      </c>
      <c r="L48" s="139">
        <v>1.36</v>
      </c>
      <c r="M48" s="137" t="s">
        <v>12</v>
      </c>
      <c r="N48" s="137" t="s">
        <v>2012</v>
      </c>
      <c r="O48" s="137" t="s">
        <v>2012</v>
      </c>
      <c r="P48" s="141" t="s">
        <v>12</v>
      </c>
      <c r="Q48" s="137" t="s">
        <v>12</v>
      </c>
      <c r="R48" s="139" t="s">
        <v>12</v>
      </c>
      <c r="S48" s="139" t="s">
        <v>12</v>
      </c>
      <c r="T48" s="14" t="s">
        <v>1404</v>
      </c>
      <c r="U48" s="14" t="s">
        <v>167</v>
      </c>
    </row>
    <row r="49" ht="37.5" customHeight="1">
      <c r="A49" s="136"/>
      <c r="B49" s="14" t="s">
        <v>28</v>
      </c>
      <c r="C49" s="14" t="s">
        <v>17</v>
      </c>
      <c r="D49" s="14" t="s">
        <v>26</v>
      </c>
      <c r="E49" s="137">
        <f t="shared" si="28"/>
        <v>17575.33822</v>
      </c>
      <c r="F49" s="137">
        <f t="shared" si="29"/>
        <v>11951.22999</v>
      </c>
      <c r="G49" s="137">
        <v>8787.669109999999</v>
      </c>
      <c r="H49" s="137" t="s">
        <v>12</v>
      </c>
      <c r="I49" s="137" t="s">
        <v>12</v>
      </c>
      <c r="J49" s="137" t="s">
        <v>12</v>
      </c>
      <c r="K49" s="139">
        <v>2.0</v>
      </c>
      <c r="L49" s="139">
        <v>1.36</v>
      </c>
      <c r="M49" s="137" t="s">
        <v>12</v>
      </c>
      <c r="N49" s="137" t="s">
        <v>2012</v>
      </c>
      <c r="O49" s="137" t="s">
        <v>2012</v>
      </c>
      <c r="P49" s="141" t="s">
        <v>12</v>
      </c>
      <c r="Q49" s="137" t="s">
        <v>12</v>
      </c>
      <c r="R49" s="139" t="s">
        <v>12</v>
      </c>
      <c r="S49" s="139" t="s">
        <v>12</v>
      </c>
      <c r="T49" s="14" t="s">
        <v>2037</v>
      </c>
      <c r="U49" s="14" t="s">
        <v>167</v>
      </c>
    </row>
    <row r="50" ht="37.5" customHeight="1">
      <c r="A50" s="136"/>
      <c r="B50" s="14" t="s">
        <v>1995</v>
      </c>
      <c r="C50" s="14" t="s">
        <v>24</v>
      </c>
      <c r="D50" s="14" t="s">
        <v>37</v>
      </c>
      <c r="E50" s="137">
        <f t="shared" si="28"/>
        <v>55976.38681</v>
      </c>
      <c r="F50" s="137">
        <f t="shared" si="29"/>
        <v>47020.16492</v>
      </c>
      <c r="G50" s="137">
        <f t="shared" ref="G50:G58" si="38">H50/I50</f>
        <v>44781.10945</v>
      </c>
      <c r="H50" s="138">
        <v>29869.0</v>
      </c>
      <c r="I50" s="14">
        <v>0.667</v>
      </c>
      <c r="J50" s="138">
        <v>25.0</v>
      </c>
      <c r="K50" s="139">
        <v>1.25</v>
      </c>
      <c r="L50" s="139">
        <v>1.05</v>
      </c>
      <c r="M50" s="139">
        <v>7.95</v>
      </c>
      <c r="N50" s="137">
        <f t="shared" ref="N50:N58" si="39">O50*K50</f>
        <v>933406.25</v>
      </c>
      <c r="O50" s="137">
        <f t="shared" ref="O50:O58" si="40">J50*H50</f>
        <v>746725</v>
      </c>
      <c r="P50" s="137">
        <f t="shared" ref="P50:P58" si="41">Q50*K50</f>
        <v>296823.1875</v>
      </c>
      <c r="Q50" s="137">
        <f t="shared" ref="Q50:Q58" si="42">M50*H50</f>
        <v>237458.55</v>
      </c>
      <c r="R50" s="139" t="s">
        <v>12</v>
      </c>
      <c r="S50" s="139">
        <v>2.12</v>
      </c>
      <c r="T50" s="14" t="s">
        <v>360</v>
      </c>
      <c r="U50" s="14" t="s">
        <v>167</v>
      </c>
    </row>
    <row r="51" ht="37.5" customHeight="1">
      <c r="A51" s="136"/>
      <c r="B51" s="14" t="s">
        <v>1997</v>
      </c>
      <c r="C51" s="14" t="s">
        <v>17</v>
      </c>
      <c r="D51" s="14" t="s">
        <v>9</v>
      </c>
      <c r="E51" s="137">
        <f t="shared" si="28"/>
        <v>99647.43333</v>
      </c>
      <c r="F51" s="137">
        <f t="shared" si="29"/>
        <v>71664.25</v>
      </c>
      <c r="G51" s="137">
        <f t="shared" si="38"/>
        <v>68251.66667</v>
      </c>
      <c r="H51" s="138">
        <v>40951.0</v>
      </c>
      <c r="I51" s="14">
        <v>0.6</v>
      </c>
      <c r="J51" s="138">
        <v>31.0</v>
      </c>
      <c r="K51" s="139">
        <v>1.46</v>
      </c>
      <c r="L51" s="139">
        <v>1.05</v>
      </c>
      <c r="M51" s="139">
        <v>9.51</v>
      </c>
      <c r="N51" s="137">
        <f t="shared" si="39"/>
        <v>1853442.26</v>
      </c>
      <c r="O51" s="137">
        <f t="shared" si="40"/>
        <v>1269481</v>
      </c>
      <c r="P51" s="137">
        <f t="shared" si="41"/>
        <v>568588.2546</v>
      </c>
      <c r="Q51" s="137">
        <f t="shared" si="42"/>
        <v>389444.01</v>
      </c>
      <c r="R51" s="139" t="s">
        <v>12</v>
      </c>
      <c r="S51" s="139">
        <v>3.02</v>
      </c>
      <c r="T51" s="14" t="s">
        <v>2038</v>
      </c>
      <c r="U51" s="14" t="s">
        <v>167</v>
      </c>
    </row>
    <row r="52" ht="37.5" customHeight="1">
      <c r="A52" s="136"/>
      <c r="B52" s="14" t="s">
        <v>2024</v>
      </c>
      <c r="C52" s="14" t="s">
        <v>13</v>
      </c>
      <c r="D52" s="14" t="s">
        <v>37</v>
      </c>
      <c r="E52" s="137">
        <f t="shared" si="28"/>
        <v>38320.59091</v>
      </c>
      <c r="F52" s="137">
        <f t="shared" si="29"/>
        <v>35813.63636</v>
      </c>
      <c r="G52" s="137">
        <f t="shared" si="38"/>
        <v>35813.63636</v>
      </c>
      <c r="H52" s="138">
        <v>39395.0</v>
      </c>
      <c r="I52" s="14">
        <v>1.1</v>
      </c>
      <c r="J52" s="138">
        <v>29.0</v>
      </c>
      <c r="K52" s="139">
        <v>1.07</v>
      </c>
      <c r="L52" s="139">
        <v>1.0</v>
      </c>
      <c r="M52" s="139">
        <v>9.03</v>
      </c>
      <c r="N52" s="137">
        <f t="shared" si="39"/>
        <v>1222426.85</v>
      </c>
      <c r="O52" s="137">
        <f t="shared" si="40"/>
        <v>1142455</v>
      </c>
      <c r="P52" s="137">
        <f t="shared" si="41"/>
        <v>380638.4295</v>
      </c>
      <c r="Q52" s="137">
        <f t="shared" si="42"/>
        <v>355736.85</v>
      </c>
      <c r="R52" s="139">
        <v>16.0</v>
      </c>
      <c r="S52" s="139">
        <v>2.22</v>
      </c>
      <c r="T52" s="14" t="s">
        <v>281</v>
      </c>
      <c r="U52" s="14" t="s">
        <v>167</v>
      </c>
    </row>
    <row r="53" ht="37.5" customHeight="1">
      <c r="A53" s="136"/>
      <c r="B53" s="14" t="s">
        <v>2024</v>
      </c>
      <c r="C53" s="14" t="s">
        <v>16</v>
      </c>
      <c r="D53" s="14" t="s">
        <v>37</v>
      </c>
      <c r="E53" s="137">
        <f t="shared" si="28"/>
        <v>35568.60503</v>
      </c>
      <c r="F53" s="137">
        <f t="shared" si="29"/>
        <v>33241.68694</v>
      </c>
      <c r="G53" s="137">
        <f t="shared" si="38"/>
        <v>33241.68694</v>
      </c>
      <c r="H53" s="138">
        <v>40987.0</v>
      </c>
      <c r="I53" s="14">
        <v>1.233</v>
      </c>
      <c r="J53" s="138">
        <v>29.0</v>
      </c>
      <c r="K53" s="139">
        <v>1.07</v>
      </c>
      <c r="L53" s="139">
        <v>1.0</v>
      </c>
      <c r="M53" s="139">
        <v>9.03</v>
      </c>
      <c r="N53" s="137">
        <f t="shared" si="39"/>
        <v>1271826.61</v>
      </c>
      <c r="O53" s="137">
        <f t="shared" si="40"/>
        <v>1188623</v>
      </c>
      <c r="P53" s="137">
        <f t="shared" si="41"/>
        <v>396020.4927</v>
      </c>
      <c r="Q53" s="137">
        <f t="shared" si="42"/>
        <v>370112.61</v>
      </c>
      <c r="R53" s="139">
        <v>15.68</v>
      </c>
      <c r="S53" s="139">
        <v>2.23</v>
      </c>
      <c r="T53" s="14" t="s">
        <v>330</v>
      </c>
      <c r="U53" s="14" t="s">
        <v>167</v>
      </c>
    </row>
    <row r="54" ht="37.5" customHeight="1">
      <c r="A54" s="136"/>
      <c r="B54" s="14" t="s">
        <v>2024</v>
      </c>
      <c r="C54" s="14" t="s">
        <v>264</v>
      </c>
      <c r="D54" s="14" t="s">
        <v>37</v>
      </c>
      <c r="E54" s="137">
        <f t="shared" si="28"/>
        <v>36205.13908</v>
      </c>
      <c r="F54" s="137">
        <f t="shared" si="29"/>
        <v>33836.57858</v>
      </c>
      <c r="G54" s="137">
        <f t="shared" si="38"/>
        <v>33836.57858</v>
      </c>
      <c r="H54" s="138">
        <v>48657.0</v>
      </c>
      <c r="I54" s="14">
        <v>1.438</v>
      </c>
      <c r="J54" s="138">
        <v>29.0</v>
      </c>
      <c r="K54" s="139">
        <v>1.07</v>
      </c>
      <c r="L54" s="139">
        <v>1.0</v>
      </c>
      <c r="M54" s="139">
        <v>9.03</v>
      </c>
      <c r="N54" s="137">
        <f t="shared" si="39"/>
        <v>1509826.71</v>
      </c>
      <c r="O54" s="137">
        <f t="shared" si="40"/>
        <v>1411053</v>
      </c>
      <c r="P54" s="137">
        <f t="shared" si="41"/>
        <v>470128.7997</v>
      </c>
      <c r="Q54" s="137">
        <f t="shared" si="42"/>
        <v>439372.71</v>
      </c>
      <c r="R54" s="139">
        <v>16.63</v>
      </c>
      <c r="S54" s="139">
        <v>2.49</v>
      </c>
      <c r="T54" s="14" t="s">
        <v>263</v>
      </c>
      <c r="U54" s="14" t="s">
        <v>167</v>
      </c>
    </row>
    <row r="55" ht="37.5" customHeight="1">
      <c r="A55" s="136"/>
      <c r="B55" s="14" t="s">
        <v>2039</v>
      </c>
      <c r="C55" s="14" t="s">
        <v>13</v>
      </c>
      <c r="D55" s="14" t="s">
        <v>37</v>
      </c>
      <c r="E55" s="137">
        <f t="shared" si="28"/>
        <v>39245</v>
      </c>
      <c r="F55" s="137">
        <f t="shared" si="29"/>
        <v>26163.33333</v>
      </c>
      <c r="G55" s="137">
        <f t="shared" si="38"/>
        <v>26163.33333</v>
      </c>
      <c r="H55" s="138">
        <v>23547.0</v>
      </c>
      <c r="I55" s="14">
        <v>0.9</v>
      </c>
      <c r="J55" s="138">
        <v>36.0</v>
      </c>
      <c r="K55" s="139">
        <v>1.5</v>
      </c>
      <c r="L55" s="139">
        <v>1.0</v>
      </c>
      <c r="M55" s="139">
        <v>13.36</v>
      </c>
      <c r="N55" s="137">
        <f t="shared" si="39"/>
        <v>1271538</v>
      </c>
      <c r="O55" s="137">
        <f t="shared" si="40"/>
        <v>847692</v>
      </c>
      <c r="P55" s="137">
        <f t="shared" si="41"/>
        <v>471881.88</v>
      </c>
      <c r="Q55" s="137">
        <f t="shared" si="42"/>
        <v>314587.92</v>
      </c>
      <c r="R55" s="139">
        <v>18.0</v>
      </c>
      <c r="S55" s="139">
        <v>2.72</v>
      </c>
      <c r="T55" s="14" t="s">
        <v>2040</v>
      </c>
      <c r="U55" s="14" t="s">
        <v>167</v>
      </c>
    </row>
    <row r="56" ht="37.5" customHeight="1">
      <c r="A56" s="136"/>
      <c r="B56" s="14" t="s">
        <v>2039</v>
      </c>
      <c r="C56" s="14" t="s">
        <v>1998</v>
      </c>
      <c r="D56" s="14" t="s">
        <v>37</v>
      </c>
      <c r="E56" s="137">
        <f t="shared" si="28"/>
        <v>38185.53888</v>
      </c>
      <c r="F56" s="137">
        <f t="shared" si="29"/>
        <v>25457.02592</v>
      </c>
      <c r="G56" s="137">
        <f t="shared" si="38"/>
        <v>25457.02592</v>
      </c>
      <c r="H56" s="138">
        <v>18660.0</v>
      </c>
      <c r="I56" s="14">
        <v>0.733</v>
      </c>
      <c r="J56" s="138">
        <v>36.0</v>
      </c>
      <c r="K56" s="139">
        <v>1.5</v>
      </c>
      <c r="L56" s="139">
        <v>1.0</v>
      </c>
      <c r="M56" s="139">
        <v>13.36</v>
      </c>
      <c r="N56" s="137">
        <f t="shared" si="39"/>
        <v>1007640</v>
      </c>
      <c r="O56" s="137">
        <f t="shared" si="40"/>
        <v>671760</v>
      </c>
      <c r="P56" s="137">
        <f t="shared" si="41"/>
        <v>373946.4</v>
      </c>
      <c r="Q56" s="137">
        <f t="shared" si="42"/>
        <v>249297.6</v>
      </c>
      <c r="R56" s="139">
        <v>17.84</v>
      </c>
      <c r="S56" s="139">
        <v>2.35</v>
      </c>
      <c r="T56" s="14" t="s">
        <v>663</v>
      </c>
      <c r="U56" s="14" t="s">
        <v>167</v>
      </c>
    </row>
    <row r="57" ht="37.5" customHeight="1">
      <c r="A57" s="136"/>
      <c r="B57" s="14" t="s">
        <v>2041</v>
      </c>
      <c r="C57" s="14" t="s">
        <v>2042</v>
      </c>
      <c r="D57" s="14" t="s">
        <v>9</v>
      </c>
      <c r="E57" s="137">
        <f t="shared" si="28"/>
        <v>60242.77657</v>
      </c>
      <c r="F57" s="137">
        <f t="shared" si="29"/>
        <v>71196.00868</v>
      </c>
      <c r="G57" s="137">
        <f t="shared" si="38"/>
        <v>45638.4671</v>
      </c>
      <c r="H57" s="138">
        <v>63118.0</v>
      </c>
      <c r="I57" s="14">
        <v>1.383</v>
      </c>
      <c r="J57" s="138">
        <v>29.0</v>
      </c>
      <c r="K57" s="139">
        <v>1.32</v>
      </c>
      <c r="L57" s="139">
        <v>1.56</v>
      </c>
      <c r="M57" s="139">
        <v>9.4</v>
      </c>
      <c r="N57" s="137">
        <f t="shared" si="39"/>
        <v>2416157.04</v>
      </c>
      <c r="O57" s="137">
        <f t="shared" si="40"/>
        <v>1830422</v>
      </c>
      <c r="P57" s="137">
        <f t="shared" si="41"/>
        <v>783168.144</v>
      </c>
      <c r="Q57" s="137">
        <f t="shared" si="42"/>
        <v>593309.2</v>
      </c>
      <c r="R57" s="139" t="s">
        <v>12</v>
      </c>
      <c r="S57" s="139">
        <v>2.41</v>
      </c>
      <c r="T57" s="14" t="s">
        <v>1373</v>
      </c>
      <c r="U57" s="14" t="s">
        <v>167</v>
      </c>
    </row>
    <row r="58" ht="37.5" customHeight="1">
      <c r="A58" s="136"/>
      <c r="B58" s="14" t="s">
        <v>2041</v>
      </c>
      <c r="C58" s="14" t="s">
        <v>17</v>
      </c>
      <c r="D58" s="14" t="s">
        <v>9</v>
      </c>
      <c r="E58" s="137">
        <f t="shared" si="28"/>
        <v>58959.55239</v>
      </c>
      <c r="F58" s="137">
        <f t="shared" si="29"/>
        <v>69679.47101</v>
      </c>
      <c r="G58" s="137">
        <f t="shared" si="38"/>
        <v>44666.32757</v>
      </c>
      <c r="H58" s="138">
        <v>43907.0</v>
      </c>
      <c r="I58" s="14">
        <v>0.983</v>
      </c>
      <c r="J58" s="138">
        <v>30.0</v>
      </c>
      <c r="K58" s="139">
        <v>1.32</v>
      </c>
      <c r="L58" s="139">
        <v>1.56</v>
      </c>
      <c r="M58" s="139">
        <v>9.69</v>
      </c>
      <c r="N58" s="137">
        <f t="shared" si="39"/>
        <v>1738717.2</v>
      </c>
      <c r="O58" s="137">
        <f t="shared" si="40"/>
        <v>1317210</v>
      </c>
      <c r="P58" s="137">
        <f t="shared" si="41"/>
        <v>561605.6556</v>
      </c>
      <c r="Q58" s="137">
        <f t="shared" si="42"/>
        <v>425458.83</v>
      </c>
      <c r="R58" s="139" t="s">
        <v>12</v>
      </c>
      <c r="S58" s="139">
        <v>2.42</v>
      </c>
      <c r="T58" s="14" t="s">
        <v>1381</v>
      </c>
      <c r="U58" s="14" t="s">
        <v>167</v>
      </c>
    </row>
    <row r="59" ht="37.5" customHeight="1">
      <c r="A59" s="136"/>
      <c r="B59" s="14" t="s">
        <v>2016</v>
      </c>
      <c r="C59" s="14" t="s">
        <v>264</v>
      </c>
      <c r="D59" s="14" t="s">
        <v>26</v>
      </c>
      <c r="E59" s="137">
        <f t="shared" si="28"/>
        <v>23805.79562</v>
      </c>
      <c r="F59" s="137">
        <f t="shared" si="29"/>
        <v>15664.41963</v>
      </c>
      <c r="G59" s="137">
        <v>10305.539229</v>
      </c>
      <c r="H59" s="137" t="s">
        <v>12</v>
      </c>
      <c r="I59" s="137" t="s">
        <v>12</v>
      </c>
      <c r="J59" s="137" t="s">
        <v>12</v>
      </c>
      <c r="K59" s="139">
        <v>2.31</v>
      </c>
      <c r="L59" s="139">
        <v>1.52</v>
      </c>
      <c r="M59" s="137" t="s">
        <v>12</v>
      </c>
      <c r="N59" s="137" t="s">
        <v>2012</v>
      </c>
      <c r="O59" s="137" t="s">
        <v>2012</v>
      </c>
      <c r="P59" s="141" t="s">
        <v>12</v>
      </c>
      <c r="Q59" s="137" t="s">
        <v>12</v>
      </c>
      <c r="R59" s="139">
        <v>35.61</v>
      </c>
      <c r="S59" s="139">
        <v>2.11</v>
      </c>
      <c r="T59" s="14" t="s">
        <v>2043</v>
      </c>
      <c r="U59" s="14" t="s">
        <v>167</v>
      </c>
    </row>
    <row r="60" ht="37.5" customHeight="1">
      <c r="A60" s="136"/>
      <c r="B60" s="14" t="s">
        <v>42</v>
      </c>
      <c r="C60" s="14" t="s">
        <v>17</v>
      </c>
      <c r="D60" s="14" t="s">
        <v>37</v>
      </c>
      <c r="E60" s="137">
        <f t="shared" si="28"/>
        <v>60120.42017</v>
      </c>
      <c r="F60" s="137">
        <f t="shared" si="29"/>
        <v>54065.12605</v>
      </c>
      <c r="G60" s="137">
        <f>H60/I60</f>
        <v>43252.10084</v>
      </c>
      <c r="H60" s="138">
        <v>36029.0</v>
      </c>
      <c r="I60" s="14">
        <v>0.833</v>
      </c>
      <c r="J60" s="138">
        <v>25.0</v>
      </c>
      <c r="K60" s="139">
        <v>1.39</v>
      </c>
      <c r="L60" s="139">
        <v>1.25</v>
      </c>
      <c r="M60" s="139">
        <v>8.58</v>
      </c>
      <c r="N60" s="137">
        <f>O60*K60</f>
        <v>1252007.75</v>
      </c>
      <c r="O60" s="137">
        <f>J60*H60</f>
        <v>900725</v>
      </c>
      <c r="P60" s="137">
        <f>Q60*K60</f>
        <v>429689.0598</v>
      </c>
      <c r="Q60" s="137">
        <f>M60*H60</f>
        <v>309128.82</v>
      </c>
      <c r="R60" s="139">
        <v>5.68</v>
      </c>
      <c r="S60" s="139" t="s">
        <v>12</v>
      </c>
      <c r="T60" s="14" t="s">
        <v>163</v>
      </c>
      <c r="U60" s="14" t="s">
        <v>167</v>
      </c>
    </row>
    <row r="61" ht="37.5" customHeight="1">
      <c r="A61" s="136"/>
      <c r="B61" s="14" t="s">
        <v>35</v>
      </c>
      <c r="C61" s="14" t="s">
        <v>13</v>
      </c>
      <c r="D61" s="14" t="s">
        <v>26</v>
      </c>
      <c r="E61" s="137">
        <f t="shared" si="28"/>
        <v>25890.783</v>
      </c>
      <c r="F61" s="137">
        <f t="shared" si="29"/>
        <v>23100.15968</v>
      </c>
      <c r="G61" s="137">
        <v>15503.462874499999</v>
      </c>
      <c r="H61" s="137" t="s">
        <v>12</v>
      </c>
      <c r="I61" s="137" t="s">
        <v>12</v>
      </c>
      <c r="J61" s="137" t="s">
        <v>12</v>
      </c>
      <c r="K61" s="139">
        <v>1.67</v>
      </c>
      <c r="L61" s="139">
        <v>1.49</v>
      </c>
      <c r="M61" s="137" t="s">
        <v>12</v>
      </c>
      <c r="N61" s="137" t="s">
        <v>2012</v>
      </c>
      <c r="O61" s="137" t="s">
        <v>2012</v>
      </c>
      <c r="P61" s="141" t="s">
        <v>12</v>
      </c>
      <c r="Q61" s="137" t="s">
        <v>12</v>
      </c>
      <c r="R61" s="139">
        <v>14.93</v>
      </c>
      <c r="S61" s="139">
        <v>1.8</v>
      </c>
      <c r="T61" s="14" t="s">
        <v>2044</v>
      </c>
      <c r="U61" s="14" t="s">
        <v>167</v>
      </c>
    </row>
    <row r="62" ht="37.5" customHeight="1">
      <c r="A62" s="136"/>
      <c r="B62" s="14" t="s">
        <v>35</v>
      </c>
      <c r="C62" s="14" t="s">
        <v>2042</v>
      </c>
      <c r="D62" s="14" t="s">
        <v>26</v>
      </c>
      <c r="E62" s="137">
        <f t="shared" si="28"/>
        <v>28535.83667</v>
      </c>
      <c r="F62" s="137">
        <f t="shared" si="29"/>
        <v>25460.11775</v>
      </c>
      <c r="G62" s="137">
        <v>17087.3273465</v>
      </c>
      <c r="H62" s="137" t="s">
        <v>12</v>
      </c>
      <c r="I62" s="137" t="s">
        <v>12</v>
      </c>
      <c r="J62" s="137" t="s">
        <v>12</v>
      </c>
      <c r="K62" s="139">
        <v>1.67</v>
      </c>
      <c r="L62" s="139">
        <v>1.49</v>
      </c>
      <c r="M62" s="137" t="s">
        <v>12</v>
      </c>
      <c r="N62" s="137" t="s">
        <v>2012</v>
      </c>
      <c r="O62" s="137" t="s">
        <v>2012</v>
      </c>
      <c r="P62" s="141" t="s">
        <v>12</v>
      </c>
      <c r="Q62" s="137" t="s">
        <v>12</v>
      </c>
      <c r="R62" s="139">
        <v>14.78</v>
      </c>
      <c r="S62" s="139">
        <v>1.8</v>
      </c>
      <c r="T62" s="14" t="s">
        <v>829</v>
      </c>
      <c r="U62" s="14" t="s">
        <v>167</v>
      </c>
    </row>
    <row r="63" ht="37.5" customHeight="1">
      <c r="A63" s="136"/>
      <c r="B63" s="14" t="s">
        <v>35</v>
      </c>
      <c r="C63" s="14" t="s">
        <v>24</v>
      </c>
      <c r="D63" s="14" t="s">
        <v>26</v>
      </c>
      <c r="E63" s="137">
        <f t="shared" si="28"/>
        <v>25565.95185</v>
      </c>
      <c r="F63" s="137">
        <f t="shared" si="29"/>
        <v>22810.34027</v>
      </c>
      <c r="G63" s="137">
        <v>15308.953202499999</v>
      </c>
      <c r="H63" s="137" t="s">
        <v>12</v>
      </c>
      <c r="I63" s="137" t="s">
        <v>12</v>
      </c>
      <c r="J63" s="137" t="s">
        <v>12</v>
      </c>
      <c r="K63" s="139">
        <v>1.67</v>
      </c>
      <c r="L63" s="139">
        <v>1.49</v>
      </c>
      <c r="M63" s="137" t="s">
        <v>12</v>
      </c>
      <c r="N63" s="137" t="s">
        <v>2012</v>
      </c>
      <c r="O63" s="137" t="s">
        <v>2012</v>
      </c>
      <c r="P63" s="141" t="s">
        <v>12</v>
      </c>
      <c r="Q63" s="137" t="s">
        <v>12</v>
      </c>
      <c r="R63" s="139">
        <v>14.5</v>
      </c>
      <c r="S63" s="139">
        <v>1.57</v>
      </c>
      <c r="T63" s="14" t="s">
        <v>2045</v>
      </c>
      <c r="U63" s="128" t="s">
        <v>167</v>
      </c>
    </row>
    <row r="64" ht="37.5" customHeight="1">
      <c r="A64" s="136"/>
      <c r="B64" s="14" t="s">
        <v>35</v>
      </c>
      <c r="C64" s="14" t="s">
        <v>17</v>
      </c>
      <c r="D64" s="14" t="s">
        <v>26</v>
      </c>
      <c r="E64" s="137">
        <f t="shared" si="28"/>
        <v>25728.36742</v>
      </c>
      <c r="F64" s="137">
        <f t="shared" si="29"/>
        <v>22955.24998</v>
      </c>
      <c r="G64" s="137">
        <v>15406.208038499999</v>
      </c>
      <c r="H64" s="137" t="s">
        <v>12</v>
      </c>
      <c r="I64" s="137" t="s">
        <v>12</v>
      </c>
      <c r="J64" s="137" t="s">
        <v>12</v>
      </c>
      <c r="K64" s="139">
        <v>1.67</v>
      </c>
      <c r="L64" s="139">
        <v>1.49</v>
      </c>
      <c r="M64" s="137" t="s">
        <v>12</v>
      </c>
      <c r="N64" s="137" t="s">
        <v>2012</v>
      </c>
      <c r="O64" s="137" t="s">
        <v>2012</v>
      </c>
      <c r="P64" s="141" t="s">
        <v>12</v>
      </c>
      <c r="Q64" s="137" t="s">
        <v>12</v>
      </c>
      <c r="R64" s="139">
        <v>16.22</v>
      </c>
      <c r="S64" s="139">
        <v>1.85</v>
      </c>
      <c r="T64" s="14" t="s">
        <v>2046</v>
      </c>
      <c r="U64" s="128" t="s">
        <v>167</v>
      </c>
    </row>
    <row r="65" ht="37.5" customHeight="1">
      <c r="A65" s="136"/>
      <c r="B65" s="14" t="s">
        <v>35</v>
      </c>
      <c r="C65" s="14" t="s">
        <v>1998</v>
      </c>
      <c r="D65" s="14" t="s">
        <v>26</v>
      </c>
      <c r="E65" s="137">
        <f t="shared" si="28"/>
        <v>26366.42862</v>
      </c>
      <c r="F65" s="137">
        <f t="shared" si="29"/>
        <v>23524.53811</v>
      </c>
      <c r="G65" s="137">
        <v>15788.2806085</v>
      </c>
      <c r="H65" s="137" t="s">
        <v>12</v>
      </c>
      <c r="I65" s="137" t="s">
        <v>12</v>
      </c>
      <c r="J65" s="137" t="s">
        <v>12</v>
      </c>
      <c r="K65" s="139">
        <v>1.67</v>
      </c>
      <c r="L65" s="139">
        <v>1.49</v>
      </c>
      <c r="M65" s="137" t="s">
        <v>12</v>
      </c>
      <c r="N65" s="137" t="s">
        <v>2012</v>
      </c>
      <c r="O65" s="137" t="s">
        <v>2012</v>
      </c>
      <c r="P65" s="141" t="s">
        <v>12</v>
      </c>
      <c r="Q65" s="137" t="s">
        <v>12</v>
      </c>
      <c r="R65" s="139">
        <v>14.16</v>
      </c>
      <c r="S65" s="139">
        <v>1.66</v>
      </c>
      <c r="T65" s="14" t="s">
        <v>1422</v>
      </c>
      <c r="U65" s="14" t="s">
        <v>167</v>
      </c>
    </row>
    <row r="66" ht="37.5" customHeight="1">
      <c r="A66" s="136"/>
      <c r="B66" s="14" t="s">
        <v>2021</v>
      </c>
      <c r="C66" s="14" t="s">
        <v>13</v>
      </c>
      <c r="D66" s="14" t="s">
        <v>37</v>
      </c>
      <c r="E66" s="137">
        <f t="shared" si="28"/>
        <v>145959.5846</v>
      </c>
      <c r="F66" s="137">
        <f t="shared" si="29"/>
        <v>100264.0308</v>
      </c>
      <c r="G66" s="137">
        <f>H66/I66</f>
        <v>44364.61538</v>
      </c>
      <c r="H66" s="138">
        <v>28837.0</v>
      </c>
      <c r="I66" s="14">
        <v>0.65</v>
      </c>
      <c r="J66" s="138">
        <v>31.0</v>
      </c>
      <c r="K66" s="139">
        <v>3.29</v>
      </c>
      <c r="L66" s="139">
        <v>2.26</v>
      </c>
      <c r="M66" s="139">
        <v>10.49</v>
      </c>
      <c r="N66" s="137">
        <f>O66*K66</f>
        <v>2941085.63</v>
      </c>
      <c r="O66" s="137">
        <f>J66*H66</f>
        <v>893947</v>
      </c>
      <c r="P66" s="137">
        <f>Q66*K66</f>
        <v>995225.4277</v>
      </c>
      <c r="Q66" s="137">
        <f>M66*H66</f>
        <v>302500.13</v>
      </c>
      <c r="R66" s="139" t="s">
        <v>12</v>
      </c>
      <c r="S66" s="139">
        <v>3.0</v>
      </c>
      <c r="T66" s="14" t="s">
        <v>254</v>
      </c>
      <c r="U66" s="14" t="s">
        <v>167</v>
      </c>
    </row>
    <row r="67" ht="37.5" customHeight="1">
      <c r="A67" s="136"/>
      <c r="B67" s="14" t="s">
        <v>2010</v>
      </c>
      <c r="C67" s="14" t="s">
        <v>264</v>
      </c>
      <c r="D67" s="14" t="s">
        <v>26</v>
      </c>
      <c r="E67" s="137">
        <f t="shared" si="28"/>
        <v>19345.32413</v>
      </c>
      <c r="F67" s="137">
        <f t="shared" si="29"/>
        <v>16319.23991</v>
      </c>
      <c r="G67" s="137">
        <v>10807.4436505</v>
      </c>
      <c r="H67" s="137" t="s">
        <v>12</v>
      </c>
      <c r="I67" s="137" t="s">
        <v>12</v>
      </c>
      <c r="J67" s="137" t="s">
        <v>12</v>
      </c>
      <c r="K67" s="139">
        <v>1.79</v>
      </c>
      <c r="L67" s="139">
        <v>1.51</v>
      </c>
      <c r="M67" s="137" t="s">
        <v>12</v>
      </c>
      <c r="N67" s="137" t="s">
        <v>2012</v>
      </c>
      <c r="O67" s="137" t="s">
        <v>2012</v>
      </c>
      <c r="P67" s="141" t="s">
        <v>12</v>
      </c>
      <c r="Q67" s="137" t="s">
        <v>12</v>
      </c>
      <c r="R67" s="139">
        <v>35.91</v>
      </c>
      <c r="S67" s="139">
        <v>2.08</v>
      </c>
      <c r="T67" s="14" t="s">
        <v>2047</v>
      </c>
      <c r="U67" s="14" t="s">
        <v>423</v>
      </c>
    </row>
    <row r="68" ht="37.5" customHeight="1">
      <c r="A68" s="136"/>
      <c r="B68" s="14" t="s">
        <v>2010</v>
      </c>
      <c r="C68" s="14" t="s">
        <v>17</v>
      </c>
      <c r="D68" s="14" t="s">
        <v>26</v>
      </c>
      <c r="E68" s="137">
        <f t="shared" si="28"/>
        <v>19320.45468</v>
      </c>
      <c r="F68" s="137">
        <f t="shared" si="29"/>
        <v>16298.26065</v>
      </c>
      <c r="G68" s="137">
        <v>10793.5501025</v>
      </c>
      <c r="H68" s="137" t="s">
        <v>12</v>
      </c>
      <c r="I68" s="137" t="s">
        <v>12</v>
      </c>
      <c r="J68" s="137" t="s">
        <v>12</v>
      </c>
      <c r="K68" s="139">
        <v>1.79</v>
      </c>
      <c r="L68" s="139">
        <v>1.51</v>
      </c>
      <c r="M68" s="137" t="s">
        <v>12</v>
      </c>
      <c r="N68" s="137" t="s">
        <v>2012</v>
      </c>
      <c r="O68" s="137" t="s">
        <v>2012</v>
      </c>
      <c r="P68" s="141" t="s">
        <v>12</v>
      </c>
      <c r="Q68" s="137" t="s">
        <v>12</v>
      </c>
      <c r="R68" s="139">
        <v>29.4</v>
      </c>
      <c r="S68" s="139">
        <v>1.94</v>
      </c>
      <c r="T68" s="14" t="s">
        <v>2048</v>
      </c>
      <c r="U68" s="14" t="s">
        <v>423</v>
      </c>
    </row>
    <row r="69" ht="37.5" customHeight="1">
      <c r="A69" s="136"/>
      <c r="B69" s="14" t="s">
        <v>2024</v>
      </c>
      <c r="C69" s="14" t="s">
        <v>17</v>
      </c>
      <c r="D69" s="14" t="s">
        <v>37</v>
      </c>
      <c r="E69" s="137">
        <f t="shared" si="28"/>
        <v>32960.85969</v>
      </c>
      <c r="F69" s="137">
        <f t="shared" si="29"/>
        <v>30804.54177</v>
      </c>
      <c r="G69" s="137">
        <f t="shared" ref="G69:G70" si="43">H69/I69</f>
        <v>30804.54177</v>
      </c>
      <c r="H69" s="138">
        <v>37982.0</v>
      </c>
      <c r="I69" s="14">
        <v>1.233</v>
      </c>
      <c r="J69" s="138">
        <v>29.0</v>
      </c>
      <c r="K69" s="139">
        <v>1.07</v>
      </c>
      <c r="L69" s="139">
        <v>1.0</v>
      </c>
      <c r="M69" s="139">
        <v>9.03</v>
      </c>
      <c r="N69" s="137">
        <f t="shared" ref="N69:N70" si="44">O69*K69</f>
        <v>1178581.46</v>
      </c>
      <c r="O69" s="137">
        <f t="shared" ref="O69:O70" si="45">J69*H69</f>
        <v>1101478</v>
      </c>
      <c r="P69" s="137">
        <f t="shared" ref="P69:P70" si="46">Q69*K69</f>
        <v>366985.8822</v>
      </c>
      <c r="Q69" s="137">
        <f t="shared" ref="Q69:Q70" si="47">M69*H69</f>
        <v>342977.46</v>
      </c>
      <c r="R69" s="139">
        <v>17.21</v>
      </c>
      <c r="S69" s="139">
        <v>2.28</v>
      </c>
      <c r="T69" s="14" t="s">
        <v>299</v>
      </c>
      <c r="U69" s="14" t="s">
        <v>423</v>
      </c>
    </row>
    <row r="70" ht="37.5" customHeight="1">
      <c r="A70" s="136"/>
      <c r="B70" s="14" t="s">
        <v>2039</v>
      </c>
      <c r="C70" s="14" t="s">
        <v>16</v>
      </c>
      <c r="D70" s="14" t="s">
        <v>37</v>
      </c>
      <c r="E70" s="137">
        <f t="shared" si="28"/>
        <v>40128</v>
      </c>
      <c r="F70" s="137">
        <f t="shared" si="29"/>
        <v>26752</v>
      </c>
      <c r="G70" s="137">
        <f t="shared" si="43"/>
        <v>26752</v>
      </c>
      <c r="H70" s="138">
        <v>26752.0</v>
      </c>
      <c r="I70" s="14">
        <v>1.0</v>
      </c>
      <c r="J70" s="138">
        <v>36.0</v>
      </c>
      <c r="K70" s="139">
        <v>1.5</v>
      </c>
      <c r="L70" s="139">
        <v>1.0</v>
      </c>
      <c r="M70" s="139">
        <v>13.36</v>
      </c>
      <c r="N70" s="137">
        <f t="shared" si="44"/>
        <v>1444608</v>
      </c>
      <c r="O70" s="137">
        <f t="shared" si="45"/>
        <v>963072</v>
      </c>
      <c r="P70" s="137">
        <f t="shared" si="46"/>
        <v>536110.08</v>
      </c>
      <c r="Q70" s="137">
        <f t="shared" si="47"/>
        <v>357406.72</v>
      </c>
      <c r="R70" s="139">
        <v>18.88</v>
      </c>
      <c r="S70" s="139">
        <v>2.94</v>
      </c>
      <c r="T70" s="14" t="s">
        <v>2049</v>
      </c>
      <c r="U70" s="14" t="s">
        <v>423</v>
      </c>
    </row>
    <row r="71" ht="37.5" customHeight="1">
      <c r="A71" s="136"/>
      <c r="B71" s="14" t="s">
        <v>2050</v>
      </c>
      <c r="C71" s="14" t="s">
        <v>24</v>
      </c>
      <c r="D71" s="14" t="s">
        <v>26</v>
      </c>
      <c r="E71" s="137">
        <f t="shared" si="28"/>
        <v>19803.30758</v>
      </c>
      <c r="F71" s="137">
        <f t="shared" si="29"/>
        <v>12170.78278</v>
      </c>
      <c r="G71" s="137">
        <v>10314.222696499999</v>
      </c>
      <c r="H71" s="137" t="s">
        <v>12</v>
      </c>
      <c r="I71" s="137" t="s">
        <v>12</v>
      </c>
      <c r="J71" s="137" t="s">
        <v>12</v>
      </c>
      <c r="K71" s="139">
        <v>1.92</v>
      </c>
      <c r="L71" s="139">
        <v>1.18</v>
      </c>
      <c r="M71" s="137" t="s">
        <v>12</v>
      </c>
      <c r="N71" s="137" t="s">
        <v>2012</v>
      </c>
      <c r="O71" s="137" t="s">
        <v>2012</v>
      </c>
      <c r="P71" s="141" t="s">
        <v>12</v>
      </c>
      <c r="Q71" s="137" t="s">
        <v>12</v>
      </c>
      <c r="R71" s="139">
        <v>72.1</v>
      </c>
      <c r="S71" s="139">
        <v>1.88</v>
      </c>
      <c r="T71" s="14" t="s">
        <v>2051</v>
      </c>
      <c r="U71" s="14" t="s">
        <v>423</v>
      </c>
    </row>
    <row r="72" ht="37.5" customHeight="1">
      <c r="A72" s="136"/>
      <c r="B72" s="14" t="s">
        <v>2050</v>
      </c>
      <c r="C72" s="14" t="s">
        <v>17</v>
      </c>
      <c r="D72" s="14" t="s">
        <v>26</v>
      </c>
      <c r="E72" s="137">
        <f t="shared" si="28"/>
        <v>19486.53468</v>
      </c>
      <c r="F72" s="137">
        <f t="shared" si="29"/>
        <v>11976.09944</v>
      </c>
      <c r="G72" s="137">
        <v>10149.236814</v>
      </c>
      <c r="H72" s="137" t="s">
        <v>12</v>
      </c>
      <c r="I72" s="137" t="s">
        <v>12</v>
      </c>
      <c r="J72" s="137" t="s">
        <v>12</v>
      </c>
      <c r="K72" s="139">
        <v>1.92</v>
      </c>
      <c r="L72" s="139">
        <v>1.18</v>
      </c>
      <c r="M72" s="137" t="s">
        <v>12</v>
      </c>
      <c r="N72" s="137" t="s">
        <v>2012</v>
      </c>
      <c r="O72" s="137" t="s">
        <v>2012</v>
      </c>
      <c r="P72" s="141" t="s">
        <v>12</v>
      </c>
      <c r="Q72" s="137" t="s">
        <v>12</v>
      </c>
      <c r="R72" s="139">
        <v>75.87</v>
      </c>
      <c r="S72" s="139">
        <v>2.14</v>
      </c>
      <c r="T72" s="14" t="s">
        <v>2052</v>
      </c>
      <c r="U72" s="14" t="s">
        <v>423</v>
      </c>
    </row>
    <row r="73" ht="37.5" customHeight="1">
      <c r="A73" s="136"/>
      <c r="B73" s="14" t="s">
        <v>2050</v>
      </c>
      <c r="C73" s="14" t="s">
        <v>1998</v>
      </c>
      <c r="D73" s="14" t="s">
        <v>26</v>
      </c>
      <c r="E73" s="137">
        <f t="shared" si="28"/>
        <v>21707.2794</v>
      </c>
      <c r="F73" s="137">
        <f t="shared" si="29"/>
        <v>13340.93213</v>
      </c>
      <c r="G73" s="137">
        <v>11305.874684999999</v>
      </c>
      <c r="H73" s="137" t="s">
        <v>12</v>
      </c>
      <c r="I73" s="137" t="s">
        <v>12</v>
      </c>
      <c r="J73" s="137" t="s">
        <v>12</v>
      </c>
      <c r="K73" s="139">
        <v>1.92</v>
      </c>
      <c r="L73" s="139">
        <v>1.18</v>
      </c>
      <c r="M73" s="137" t="s">
        <v>12</v>
      </c>
      <c r="N73" s="137" t="s">
        <v>2012</v>
      </c>
      <c r="O73" s="137" t="s">
        <v>2012</v>
      </c>
      <c r="P73" s="141" t="s">
        <v>12</v>
      </c>
      <c r="Q73" s="137" t="s">
        <v>12</v>
      </c>
      <c r="R73" s="139">
        <v>67.71</v>
      </c>
      <c r="S73" s="139">
        <v>2.37</v>
      </c>
      <c r="T73" s="14" t="s">
        <v>2053</v>
      </c>
      <c r="U73" s="14" t="s">
        <v>423</v>
      </c>
    </row>
    <row r="74" ht="37.5" customHeight="1">
      <c r="A74" s="136"/>
      <c r="B74" s="14" t="s">
        <v>35</v>
      </c>
      <c r="C74" s="14" t="s">
        <v>30</v>
      </c>
      <c r="D74" s="14" t="s">
        <v>26</v>
      </c>
      <c r="E74" s="137">
        <f t="shared" si="28"/>
        <v>25519.5474</v>
      </c>
      <c r="F74" s="137">
        <f t="shared" si="29"/>
        <v>22768.9375</v>
      </c>
      <c r="G74" s="137">
        <v>15281.166106499999</v>
      </c>
      <c r="H74" s="137" t="s">
        <v>12</v>
      </c>
      <c r="I74" s="137" t="s">
        <v>12</v>
      </c>
      <c r="J74" s="137" t="s">
        <v>12</v>
      </c>
      <c r="K74" s="139">
        <v>1.67</v>
      </c>
      <c r="L74" s="139">
        <v>1.49</v>
      </c>
      <c r="M74" s="137" t="s">
        <v>12</v>
      </c>
      <c r="N74" s="137" t="s">
        <v>2012</v>
      </c>
      <c r="O74" s="137" t="s">
        <v>2012</v>
      </c>
      <c r="P74" s="141" t="s">
        <v>12</v>
      </c>
      <c r="Q74" s="137" t="s">
        <v>12</v>
      </c>
      <c r="R74" s="139">
        <v>15.5</v>
      </c>
      <c r="S74" s="139">
        <v>1.87</v>
      </c>
      <c r="T74" s="14" t="s">
        <v>1424</v>
      </c>
      <c r="U74" s="14" t="s">
        <v>423</v>
      </c>
    </row>
    <row r="75" ht="37.5" customHeight="1">
      <c r="A75" s="136"/>
      <c r="B75" s="14" t="s">
        <v>36</v>
      </c>
      <c r="C75" s="14" t="s">
        <v>13</v>
      </c>
      <c r="D75" s="14" t="s">
        <v>26</v>
      </c>
      <c r="E75" s="137">
        <f t="shared" si="28"/>
        <v>18865.23258</v>
      </c>
      <c r="F75" s="137">
        <f t="shared" si="29"/>
        <v>18314.42287</v>
      </c>
      <c r="G75" s="137">
        <v>13770.2427615</v>
      </c>
      <c r="H75" s="137" t="s">
        <v>12</v>
      </c>
      <c r="I75" s="137" t="s">
        <v>12</v>
      </c>
      <c r="J75" s="137" t="s">
        <v>12</v>
      </c>
      <c r="K75" s="139">
        <v>1.37</v>
      </c>
      <c r="L75" s="139">
        <v>1.33</v>
      </c>
      <c r="M75" s="137" t="s">
        <v>12</v>
      </c>
      <c r="N75" s="137" t="s">
        <v>2012</v>
      </c>
      <c r="O75" s="137" t="s">
        <v>2012</v>
      </c>
      <c r="P75" s="141" t="s">
        <v>12</v>
      </c>
      <c r="Q75" s="137" t="s">
        <v>12</v>
      </c>
      <c r="R75" s="139">
        <v>18.33</v>
      </c>
      <c r="S75" s="139">
        <v>1.81</v>
      </c>
      <c r="T75" s="14" t="s">
        <v>2054</v>
      </c>
      <c r="U75" s="14" t="s">
        <v>423</v>
      </c>
    </row>
    <row r="76" ht="37.5" customHeight="1">
      <c r="A76" s="136"/>
      <c r="B76" s="14" t="s">
        <v>36</v>
      </c>
      <c r="C76" s="14" t="s">
        <v>16</v>
      </c>
      <c r="D76" s="14" t="s">
        <v>26</v>
      </c>
      <c r="E76" s="137">
        <f t="shared" si="28"/>
        <v>19129.33156</v>
      </c>
      <c r="F76" s="137">
        <f t="shared" si="29"/>
        <v>18570.81093</v>
      </c>
      <c r="G76" s="137">
        <v>13963.015739999999</v>
      </c>
      <c r="H76" s="137" t="s">
        <v>12</v>
      </c>
      <c r="I76" s="137" t="s">
        <v>12</v>
      </c>
      <c r="J76" s="137" t="s">
        <v>12</v>
      </c>
      <c r="K76" s="139">
        <v>1.37</v>
      </c>
      <c r="L76" s="139">
        <v>1.33</v>
      </c>
      <c r="M76" s="137" t="s">
        <v>12</v>
      </c>
      <c r="N76" s="137" t="s">
        <v>2012</v>
      </c>
      <c r="O76" s="137" t="s">
        <v>2012</v>
      </c>
      <c r="P76" s="141" t="s">
        <v>12</v>
      </c>
      <c r="Q76" s="137" t="s">
        <v>12</v>
      </c>
      <c r="R76" s="139">
        <v>18.42</v>
      </c>
      <c r="S76" s="139">
        <v>2.22</v>
      </c>
      <c r="T76" s="14" t="s">
        <v>2055</v>
      </c>
      <c r="U76" s="14" t="s">
        <v>423</v>
      </c>
    </row>
    <row r="77" ht="37.5" customHeight="1">
      <c r="A77" s="136"/>
      <c r="B77" s="14" t="s">
        <v>36</v>
      </c>
      <c r="C77" s="14" t="s">
        <v>24</v>
      </c>
      <c r="D77" s="14" t="s">
        <v>26</v>
      </c>
      <c r="E77" s="137">
        <f t="shared" si="28"/>
        <v>19838.35405</v>
      </c>
      <c r="F77" s="137">
        <f t="shared" si="29"/>
        <v>19259.13204</v>
      </c>
      <c r="G77" s="137">
        <v>14480.550403</v>
      </c>
      <c r="H77" s="137" t="s">
        <v>12</v>
      </c>
      <c r="I77" s="137" t="s">
        <v>12</v>
      </c>
      <c r="J77" s="137" t="s">
        <v>12</v>
      </c>
      <c r="K77" s="139">
        <v>1.37</v>
      </c>
      <c r="L77" s="139">
        <v>1.33</v>
      </c>
      <c r="M77" s="137" t="s">
        <v>12</v>
      </c>
      <c r="N77" s="137" t="s">
        <v>2012</v>
      </c>
      <c r="O77" s="137" t="s">
        <v>2012</v>
      </c>
      <c r="P77" s="141" t="s">
        <v>12</v>
      </c>
      <c r="Q77" s="137" t="s">
        <v>12</v>
      </c>
      <c r="R77" s="139">
        <v>18.06</v>
      </c>
      <c r="S77" s="139">
        <v>2.15</v>
      </c>
      <c r="T77" s="14" t="s">
        <v>2056</v>
      </c>
      <c r="U77" s="14" t="s">
        <v>423</v>
      </c>
    </row>
    <row r="78" ht="37.5" customHeight="1">
      <c r="A78" s="136"/>
      <c r="B78" s="14" t="s">
        <v>36</v>
      </c>
      <c r="C78" s="14" t="s">
        <v>17</v>
      </c>
      <c r="D78" s="14" t="s">
        <v>26</v>
      </c>
      <c r="E78" s="137">
        <f t="shared" si="28"/>
        <v>18958.02412</v>
      </c>
      <c r="F78" s="137">
        <f t="shared" si="29"/>
        <v>18404.50516</v>
      </c>
      <c r="G78" s="137">
        <v>13837.973807999999</v>
      </c>
      <c r="H78" s="137" t="s">
        <v>12</v>
      </c>
      <c r="I78" s="137" t="s">
        <v>12</v>
      </c>
      <c r="J78" s="137" t="s">
        <v>12</v>
      </c>
      <c r="K78" s="139">
        <v>1.37</v>
      </c>
      <c r="L78" s="139">
        <v>1.33</v>
      </c>
      <c r="M78" s="137" t="s">
        <v>12</v>
      </c>
      <c r="N78" s="137" t="s">
        <v>2012</v>
      </c>
      <c r="O78" s="137" t="s">
        <v>2012</v>
      </c>
      <c r="P78" s="141" t="s">
        <v>12</v>
      </c>
      <c r="Q78" s="137" t="s">
        <v>12</v>
      </c>
      <c r="R78" s="139">
        <v>19.79</v>
      </c>
      <c r="S78" s="139">
        <v>2.29</v>
      </c>
      <c r="T78" s="14" t="s">
        <v>2057</v>
      </c>
      <c r="U78" s="14" t="s">
        <v>423</v>
      </c>
    </row>
    <row r="79" ht="37.5" customHeight="1">
      <c r="A79" s="136"/>
      <c r="B79" s="14" t="s">
        <v>2013</v>
      </c>
      <c r="C79" s="14" t="s">
        <v>16</v>
      </c>
      <c r="D79" s="14" t="s">
        <v>26</v>
      </c>
      <c r="E79" s="137">
        <f t="shared" si="28"/>
        <v>21950.05178</v>
      </c>
      <c r="F79" s="137">
        <f t="shared" si="29"/>
        <v>21505.71875</v>
      </c>
      <c r="G79" s="137">
        <v>8886.6606395</v>
      </c>
      <c r="H79" s="137" t="s">
        <v>12</v>
      </c>
      <c r="I79" s="137" t="s">
        <v>12</v>
      </c>
      <c r="J79" s="137" t="s">
        <v>12</v>
      </c>
      <c r="K79" s="139">
        <v>2.47</v>
      </c>
      <c r="L79" s="139">
        <v>2.42</v>
      </c>
      <c r="M79" s="137" t="s">
        <v>12</v>
      </c>
      <c r="N79" s="137" t="s">
        <v>2012</v>
      </c>
      <c r="O79" s="137" t="s">
        <v>2012</v>
      </c>
      <c r="P79" s="141" t="s">
        <v>12</v>
      </c>
      <c r="Q79" s="137" t="s">
        <v>12</v>
      </c>
      <c r="R79" s="139">
        <v>35.78</v>
      </c>
      <c r="S79" s="139">
        <v>3.03</v>
      </c>
      <c r="T79" s="14" t="s">
        <v>2058</v>
      </c>
      <c r="U79" s="14" t="s">
        <v>447</v>
      </c>
    </row>
    <row r="80" ht="37.5" customHeight="1">
      <c r="A80" s="136"/>
      <c r="B80" s="14" t="s">
        <v>2050</v>
      </c>
      <c r="C80" s="14" t="s">
        <v>16</v>
      </c>
      <c r="D80" s="14" t="s">
        <v>26</v>
      </c>
      <c r="E80" s="137">
        <f t="shared" si="28"/>
        <v>18896.33676</v>
      </c>
      <c r="F80" s="137">
        <f t="shared" si="29"/>
        <v>11613.37364</v>
      </c>
      <c r="G80" s="137">
        <v>9841.842064499999</v>
      </c>
      <c r="H80" s="137" t="s">
        <v>12</v>
      </c>
      <c r="I80" s="137" t="s">
        <v>12</v>
      </c>
      <c r="J80" s="137" t="s">
        <v>12</v>
      </c>
      <c r="K80" s="139">
        <v>1.92</v>
      </c>
      <c r="L80" s="139">
        <v>1.18</v>
      </c>
      <c r="M80" s="137" t="s">
        <v>12</v>
      </c>
      <c r="N80" s="137" t="s">
        <v>2012</v>
      </c>
      <c r="O80" s="137" t="s">
        <v>2012</v>
      </c>
      <c r="P80" s="141" t="s">
        <v>12</v>
      </c>
      <c r="Q80" s="137" t="s">
        <v>12</v>
      </c>
      <c r="R80" s="139">
        <v>78.38</v>
      </c>
      <c r="S80" s="139">
        <v>4.22</v>
      </c>
      <c r="T80" s="14" t="s">
        <v>1418</v>
      </c>
      <c r="U80" s="14" t="s">
        <v>447</v>
      </c>
    </row>
    <row r="81" ht="37.5" customHeight="1">
      <c r="A81" s="136"/>
      <c r="B81" s="14" t="s">
        <v>2050</v>
      </c>
      <c r="C81" s="14" t="s">
        <v>264</v>
      </c>
      <c r="D81" s="14" t="s">
        <v>26</v>
      </c>
      <c r="E81" s="137">
        <f t="shared" si="28"/>
        <v>20400.1744</v>
      </c>
      <c r="F81" s="137">
        <f t="shared" si="29"/>
        <v>12537.60718</v>
      </c>
      <c r="G81" s="137">
        <v>10625.090833</v>
      </c>
      <c r="H81" s="137" t="s">
        <v>12</v>
      </c>
      <c r="I81" s="137" t="s">
        <v>12</v>
      </c>
      <c r="J81" s="137" t="s">
        <v>12</v>
      </c>
      <c r="K81" s="139">
        <v>1.92</v>
      </c>
      <c r="L81" s="139">
        <v>1.18</v>
      </c>
      <c r="M81" s="137" t="s">
        <v>12</v>
      </c>
      <c r="N81" s="137" t="s">
        <v>2012</v>
      </c>
      <c r="O81" s="137" t="s">
        <v>2012</v>
      </c>
      <c r="P81" s="141" t="s">
        <v>12</v>
      </c>
      <c r="Q81" s="137" t="s">
        <v>12</v>
      </c>
      <c r="R81" s="139">
        <v>83.71</v>
      </c>
      <c r="S81" s="139">
        <v>2.36</v>
      </c>
      <c r="T81" s="14" t="s">
        <v>2059</v>
      </c>
      <c r="U81" s="14" t="s">
        <v>447</v>
      </c>
    </row>
  </sheetData>
  <autoFilter ref="$A$2:$U$81">
    <sortState ref="A2:U81">
      <sortCondition ref="U2:U81"/>
      <sortCondition ref="B2:B81"/>
      <sortCondition ref="C2:C81"/>
      <sortCondition descending="1" ref="E2:E81"/>
      <sortCondition ref="D2:D81"/>
      <sortCondition descending="1" ref="N2:N81"/>
    </sortState>
  </autoFilter>
  <mergeCells count="2">
    <mergeCell ref="A1:D1"/>
    <mergeCell ref="E1:T1"/>
  </mergeCells>
  <conditionalFormatting sqref="U3:U81">
    <cfRule type="cellIs" dxfId="3" priority="1" operator="equal">
      <formula>"F"</formula>
    </cfRule>
  </conditionalFormatting>
  <conditionalFormatting sqref="U3:U81">
    <cfRule type="cellIs" dxfId="4" priority="2" operator="equal">
      <formula>"E"</formula>
    </cfRule>
  </conditionalFormatting>
  <conditionalFormatting sqref="U3:U81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U3:U81">
    <cfRule type="cellIs" dxfId="5" priority="4" operator="equal">
      <formula>"S"</formula>
    </cfRule>
  </conditionalFormatting>
  <conditionalFormatting sqref="U3:U81">
    <cfRule type="cellIs" dxfId="6" priority="5" operator="equal">
      <formula>"B"</formula>
    </cfRule>
  </conditionalFormatting>
  <conditionalFormatting sqref="U3:U81">
    <cfRule type="cellIs" dxfId="7" priority="6" operator="equal">
      <formula>"D"</formula>
    </cfRule>
  </conditionalFormatting>
  <conditionalFormatting sqref="U3:U81">
    <cfRule type="cellIs" dxfId="8" priority="7" operator="equal">
      <formula>"C"</formula>
    </cfRule>
  </conditionalFormatting>
  <conditionalFormatting sqref="U3:U81">
    <cfRule type="cellIs" dxfId="9" priority="8" operator="equal">
      <formula>"A"</formula>
    </cfRule>
  </conditionalFormatting>
  <conditionalFormatting sqref="D3:D81">
    <cfRule type="cellIs" dxfId="16" priority="9" operator="equal">
      <formula>"Primary"</formula>
    </cfRule>
  </conditionalFormatting>
  <conditionalFormatting sqref="D3:D81">
    <cfRule type="cellIs" dxfId="17" priority="10" operator="equal">
      <formula>"Special"</formula>
    </cfRule>
  </conditionalFormatting>
  <conditionalFormatting sqref="D3:D81">
    <cfRule type="cellIs" dxfId="18" priority="11" operator="equal">
      <formula>"Power"</formula>
    </cfRule>
  </conditionalFormatting>
  <conditionalFormatting sqref="G3:G81">
    <cfRule type="colorScale" priority="1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O3:O81">
    <cfRule type="colorScale" priority="1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3:E81">
    <cfRule type="colorScale" priority="1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Q3:Q81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R3:R81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S3:S81">
    <cfRule type="colorScale" priority="1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3:F81">
    <cfRule type="colorScale" priority="18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N3:N81 E41 E46 E52 E63:E64">
    <cfRule type="colorScale" priority="19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P3:P81">
    <cfRule type="colorScale" priority="20">
      <colorScale>
        <cfvo type="min"/>
        <cfvo type="percentile" val="50"/>
        <cfvo type="max"/>
        <color rgb="FFE67C73"/>
        <color rgb="FFFFD666"/>
        <color rgb="FF57BB8A"/>
      </colorScale>
    </cfRule>
  </conditionalFormatting>
  <hyperlinks>
    <hyperlink r:id="rId2" ref="A1"/>
  </hyperlink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2" width="6.38"/>
    <col customWidth="1" min="3" max="3" width="14.38"/>
    <col customWidth="1" min="4" max="4" width="13.63"/>
    <col customWidth="1" min="5" max="5" width="8.63"/>
    <col customWidth="1" hidden="1" min="6" max="6" width="10.0"/>
    <col customWidth="1" min="7" max="7" width="10.0"/>
    <col customWidth="1" min="8" max="10" width="8.5"/>
    <col customWidth="1" min="11" max="11" width="8.75"/>
    <col customWidth="1" min="12" max="12" width="10.38"/>
    <col customWidth="1" min="13" max="13" width="7.25"/>
    <col customWidth="1" min="14" max="15" width="6.38"/>
    <col customWidth="1" min="16" max="16" width="3.75"/>
    <col customWidth="1" min="17" max="17" width="7.25"/>
    <col customWidth="1" min="18" max="18" width="9.38"/>
    <col customWidth="1" min="19" max="19" width="7.88"/>
    <col customWidth="1" min="20" max="21" width="9.0"/>
    <col customWidth="1" min="22" max="26" width="8.88"/>
    <col customWidth="1" min="27" max="28" width="10.13"/>
    <col customWidth="1" min="29" max="32" width="10.63"/>
    <col customWidth="1" min="33" max="33" width="9.75"/>
    <col customWidth="1" min="34" max="34" width="26.0"/>
    <col customWidth="1" min="35" max="35" width="7.38"/>
  </cols>
  <sheetData>
    <row r="1" ht="15.0" customHeight="1">
      <c r="A1" s="142" t="s">
        <v>48</v>
      </c>
      <c r="F1" s="6" t="s">
        <v>1979</v>
      </c>
      <c r="T1" s="7" t="s">
        <v>2060</v>
      </c>
      <c r="AH1" s="10" t="s">
        <v>2061</v>
      </c>
    </row>
    <row r="2" ht="29.25" customHeight="1">
      <c r="A2" s="132" t="s">
        <v>53</v>
      </c>
      <c r="C2" s="11" t="s">
        <v>1</v>
      </c>
      <c r="D2" s="11" t="s">
        <v>55</v>
      </c>
      <c r="E2" s="11" t="s">
        <v>0</v>
      </c>
      <c r="F2" s="133" t="s">
        <v>2062</v>
      </c>
      <c r="G2" s="133" t="s">
        <v>2063</v>
      </c>
      <c r="H2" s="134" t="s">
        <v>2064</v>
      </c>
      <c r="I2" s="135" t="s">
        <v>2065</v>
      </c>
      <c r="J2" s="143" t="s">
        <v>2066</v>
      </c>
      <c r="K2" s="133" t="s">
        <v>2067</v>
      </c>
      <c r="L2" s="143" t="s">
        <v>2068</v>
      </c>
      <c r="M2" s="144" t="s">
        <v>2069</v>
      </c>
      <c r="N2" s="145" t="s">
        <v>2070</v>
      </c>
      <c r="Q2" s="146" t="s">
        <v>2071</v>
      </c>
      <c r="R2" s="145" t="s">
        <v>2072</v>
      </c>
      <c r="S2" s="147" t="s">
        <v>2073</v>
      </c>
      <c r="T2" s="11" t="s">
        <v>2074</v>
      </c>
      <c r="U2" s="11" t="s">
        <v>2075</v>
      </c>
      <c r="V2" s="12" t="s">
        <v>2076</v>
      </c>
      <c r="W2" s="12" t="s">
        <v>2077</v>
      </c>
      <c r="X2" s="12" t="s">
        <v>2078</v>
      </c>
      <c r="Y2" s="12" t="s">
        <v>2079</v>
      </c>
      <c r="Z2" s="12" t="s">
        <v>2080</v>
      </c>
      <c r="AA2" s="11" t="s">
        <v>2081</v>
      </c>
      <c r="AB2" s="148" t="s">
        <v>2082</v>
      </c>
      <c r="AC2" s="11" t="s">
        <v>2083</v>
      </c>
      <c r="AD2" s="149" t="s">
        <v>2084</v>
      </c>
      <c r="AE2" s="11" t="s">
        <v>2085</v>
      </c>
      <c r="AF2" s="12" t="s">
        <v>2086</v>
      </c>
      <c r="AG2" s="11" t="s">
        <v>2087</v>
      </c>
      <c r="AH2" s="12" t="s">
        <v>421</v>
      </c>
      <c r="AI2" s="12" t="s">
        <v>63</v>
      </c>
    </row>
    <row r="3" ht="37.5" customHeight="1">
      <c r="A3" s="136"/>
      <c r="B3" s="13"/>
      <c r="C3" s="14" t="s">
        <v>2016</v>
      </c>
      <c r="D3" s="128" t="s">
        <v>2001</v>
      </c>
      <c r="E3" s="14" t="s">
        <v>37</v>
      </c>
      <c r="F3" s="141"/>
      <c r="G3" s="150">
        <v>1117.428</v>
      </c>
      <c r="H3" s="151">
        <v>2.31</v>
      </c>
      <c r="I3" s="151">
        <v>1.52</v>
      </c>
      <c r="J3" s="150">
        <v>1.2</v>
      </c>
      <c r="K3" s="141">
        <v>14.0</v>
      </c>
      <c r="L3" s="152">
        <f>R3/(Q3-1)</f>
        <v>1.052833333</v>
      </c>
      <c r="M3" s="153">
        <f t="shared" ref="M3:M9" si="1">60/L3</f>
        <v>56.98907709</v>
      </c>
      <c r="N3" s="150">
        <v>1.683</v>
      </c>
      <c r="O3" s="150">
        <v>1.283</v>
      </c>
      <c r="P3" s="154">
        <v>38.0</v>
      </c>
      <c r="Q3" s="154">
        <v>7.0</v>
      </c>
      <c r="R3" s="150">
        <v>6.317</v>
      </c>
      <c r="S3" s="141">
        <v>8.0</v>
      </c>
      <c r="T3" s="137">
        <f t="shared" ref="T3:T17" si="2">Z3*H3</f>
        <v>2451.725832</v>
      </c>
      <c r="U3" s="137">
        <f t="shared" ref="U3:U9" si="3">AA3*H3</f>
        <v>2377.4751</v>
      </c>
      <c r="V3" s="137">
        <f t="shared" ref="V3:V17" si="4">AB3*H3</f>
        <v>2258.601345</v>
      </c>
      <c r="W3" s="141">
        <f t="shared" ref="W3:W95" si="5">IFERROR(V3/J3,V3)</f>
        <v>1882.167788</v>
      </c>
      <c r="X3" s="137">
        <f t="shared" ref="X3:X95" si="6">AB3*I3</f>
        <v>1486.17924</v>
      </c>
      <c r="Y3" s="137">
        <f>SUM(X3*0.7,V3)</f>
        <v>3298.926813</v>
      </c>
      <c r="Z3" s="137">
        <f t="shared" ref="Z3:Z22" si="7">G3/L3</f>
        <v>1061.353174</v>
      </c>
      <c r="AA3" s="137">
        <f>(G3*Q3)/(R3+O3)</f>
        <v>1029.21</v>
      </c>
      <c r="AB3" s="155">
        <f>(Q3*G3)/(R3+N3)</f>
        <v>977.7495</v>
      </c>
      <c r="AC3" s="137">
        <f t="shared" ref="AC3:AC8" si="8">AD3*H3</f>
        <v>36137.62152</v>
      </c>
      <c r="AD3" s="155">
        <f t="shared" ref="AD3:AD8" si="9">K3*G3</f>
        <v>15643.992</v>
      </c>
      <c r="AE3" s="137">
        <f t="shared" ref="AE3:AE8" si="10">AF3*H3</f>
        <v>20650.06944</v>
      </c>
      <c r="AF3" s="137">
        <f t="shared" ref="AF3:AF8" si="11">S3*G3</f>
        <v>8939.424</v>
      </c>
      <c r="AG3" s="151" t="s">
        <v>23</v>
      </c>
      <c r="AH3" s="128" t="s">
        <v>2088</v>
      </c>
      <c r="AI3" s="128" t="s">
        <v>71</v>
      </c>
    </row>
    <row r="4" ht="37.5" customHeight="1">
      <c r="A4" s="136"/>
      <c r="B4" s="128"/>
      <c r="C4" s="14" t="s">
        <v>28</v>
      </c>
      <c r="D4" s="14" t="s">
        <v>2089</v>
      </c>
      <c r="E4" s="128" t="s">
        <v>9</v>
      </c>
      <c r="F4" s="141"/>
      <c r="G4" s="150">
        <v>1834.555</v>
      </c>
      <c r="H4" s="151">
        <v>0.67</v>
      </c>
      <c r="I4" s="151">
        <v>0.51</v>
      </c>
      <c r="J4" s="150">
        <f>23500/17496</f>
        <v>1.343164152</v>
      </c>
      <c r="K4" s="141">
        <v>10.0</v>
      </c>
      <c r="L4" s="152">
        <f>R4</f>
        <v>1.883</v>
      </c>
      <c r="M4" s="153">
        <f t="shared" si="1"/>
        <v>31.86404673</v>
      </c>
      <c r="N4" s="150">
        <v>2.4</v>
      </c>
      <c r="O4" s="150">
        <v>2.117</v>
      </c>
      <c r="P4" s="154">
        <v>70.0</v>
      </c>
      <c r="Q4" s="154">
        <v>1.0</v>
      </c>
      <c r="R4" s="150">
        <v>1.883</v>
      </c>
      <c r="S4" s="141">
        <v>3.0</v>
      </c>
      <c r="T4" s="137">
        <f t="shared" si="2"/>
        <v>652.7625332</v>
      </c>
      <c r="U4" s="137">
        <f t="shared" si="3"/>
        <v>652.7625332</v>
      </c>
      <c r="V4" s="137">
        <f t="shared" si="4"/>
        <v>512.1466042</v>
      </c>
      <c r="W4" s="141">
        <f t="shared" si="5"/>
        <v>381.2985952</v>
      </c>
      <c r="X4" s="137">
        <f t="shared" si="6"/>
        <v>389.8429375</v>
      </c>
      <c r="Y4" s="141" t="s">
        <v>12</v>
      </c>
      <c r="Z4" s="137">
        <f t="shared" si="7"/>
        <v>974.2724376</v>
      </c>
      <c r="AA4" s="137">
        <f>Z4</f>
        <v>974.2724376</v>
      </c>
      <c r="AB4" s="155">
        <f>G4/N4</f>
        <v>764.3979167</v>
      </c>
      <c r="AC4" s="137">
        <f t="shared" si="8"/>
        <v>12291.5185</v>
      </c>
      <c r="AD4" s="155">
        <f t="shared" si="9"/>
        <v>18345.55</v>
      </c>
      <c r="AE4" s="137">
        <f t="shared" si="10"/>
        <v>3687.45555</v>
      </c>
      <c r="AF4" s="137">
        <f t="shared" si="11"/>
        <v>5503.665</v>
      </c>
      <c r="AG4" s="139" t="s">
        <v>12</v>
      </c>
      <c r="AH4" s="128" t="s">
        <v>2090</v>
      </c>
      <c r="AI4" s="128" t="s">
        <v>92</v>
      </c>
    </row>
    <row r="5" ht="37.5" customHeight="1">
      <c r="A5" s="156"/>
      <c r="B5" s="13"/>
      <c r="C5" s="157" t="s">
        <v>2021</v>
      </c>
      <c r="D5" s="157" t="s">
        <v>2091</v>
      </c>
      <c r="E5" s="157" t="s">
        <v>9</v>
      </c>
      <c r="F5" s="158"/>
      <c r="G5" s="159">
        <v>1890.733</v>
      </c>
      <c r="H5" s="160">
        <f>18767/5705</f>
        <v>3.289570552</v>
      </c>
      <c r="I5" s="160">
        <f>12874/5705</f>
        <v>2.256617003</v>
      </c>
      <c r="J5" s="159">
        <f>28649/10400
</f>
        <v>2.754711538</v>
      </c>
      <c r="K5" s="158">
        <v>20.0</v>
      </c>
      <c r="L5" s="161">
        <f>R5/Q5</f>
        <v>1.367</v>
      </c>
      <c r="M5" s="162">
        <f t="shared" si="1"/>
        <v>43.89173372</v>
      </c>
      <c r="N5" s="159">
        <v>1.483</v>
      </c>
      <c r="O5" s="159">
        <v>1.367</v>
      </c>
      <c r="P5" s="163">
        <v>27.0</v>
      </c>
      <c r="Q5" s="163">
        <v>1.0</v>
      </c>
      <c r="R5" s="159">
        <v>1.367</v>
      </c>
      <c r="S5" s="158">
        <v>6.0</v>
      </c>
      <c r="T5" s="137">
        <f t="shared" si="2"/>
        <v>4549.889977</v>
      </c>
      <c r="U5" s="137">
        <f t="shared" si="3"/>
        <v>2274.944989</v>
      </c>
      <c r="V5" s="137">
        <f t="shared" si="4"/>
        <v>2182.350736</v>
      </c>
      <c r="W5" s="141">
        <f t="shared" si="5"/>
        <v>792.2247778</v>
      </c>
      <c r="X5" s="137">
        <f t="shared" si="6"/>
        <v>1497.073767</v>
      </c>
      <c r="Y5" s="137">
        <f t="shared" ref="Y5:Y10" si="12">SUM(X5*0.7,V5)</f>
        <v>3230.302373</v>
      </c>
      <c r="Z5" s="137">
        <f t="shared" si="7"/>
        <v>1383.125823</v>
      </c>
      <c r="AA5" s="137">
        <f t="shared" ref="AA5:AA9" si="13">(G5*Q5)/(R5+O5)</f>
        <v>691.5629115</v>
      </c>
      <c r="AB5" s="155">
        <f t="shared" ref="AB5:AB9" si="14">(Q5*G5)/(R5+N5)</f>
        <v>663.4150877</v>
      </c>
      <c r="AC5" s="137">
        <f t="shared" si="8"/>
        <v>124393.992</v>
      </c>
      <c r="AD5" s="155">
        <f t="shared" si="9"/>
        <v>37814.66</v>
      </c>
      <c r="AE5" s="137">
        <f t="shared" si="10"/>
        <v>37318.19759</v>
      </c>
      <c r="AF5" s="137">
        <f t="shared" si="11"/>
        <v>11344.398</v>
      </c>
      <c r="AG5" s="160" t="s">
        <v>12</v>
      </c>
      <c r="AH5" s="157" t="s">
        <v>2092</v>
      </c>
      <c r="AI5" s="157" t="s">
        <v>92</v>
      </c>
    </row>
    <row r="6" ht="37.5" customHeight="1">
      <c r="A6" s="156"/>
      <c r="B6" s="128"/>
      <c r="C6" s="157" t="s">
        <v>2021</v>
      </c>
      <c r="D6" s="157" t="s">
        <v>2093</v>
      </c>
      <c r="E6" s="157" t="s">
        <v>37</v>
      </c>
      <c r="F6" s="158"/>
      <c r="G6" s="159">
        <v>642.128</v>
      </c>
      <c r="H6" s="160">
        <f>5099/1550</f>
        <v>3.289677419</v>
      </c>
      <c r="I6" s="160">
        <f>3498/1550</f>
        <v>2.256774194</v>
      </c>
      <c r="J6" s="159">
        <f>10172/2956
</f>
        <v>3.441136671</v>
      </c>
      <c r="K6" s="158">
        <v>26.0</v>
      </c>
      <c r="L6" s="161">
        <f t="shared" ref="L6:L9" si="15">R6/(Q6-1)</f>
        <v>0.425</v>
      </c>
      <c r="M6" s="162">
        <f t="shared" si="1"/>
        <v>141.1764706</v>
      </c>
      <c r="N6" s="159">
        <v>2.1</v>
      </c>
      <c r="O6" s="159">
        <v>2.083</v>
      </c>
      <c r="P6" s="163">
        <v>77.0</v>
      </c>
      <c r="Q6" s="163">
        <v>3.0</v>
      </c>
      <c r="R6" s="159">
        <v>0.85</v>
      </c>
      <c r="S6" s="158">
        <v>9.0</v>
      </c>
      <c r="T6" s="137">
        <f t="shared" si="2"/>
        <v>4970.338781</v>
      </c>
      <c r="U6" s="137">
        <f t="shared" si="3"/>
        <v>2160.648464</v>
      </c>
      <c r="V6" s="137">
        <f t="shared" si="4"/>
        <v>2148.19727</v>
      </c>
      <c r="W6" s="141">
        <f t="shared" si="5"/>
        <v>624.2696745</v>
      </c>
      <c r="X6" s="137">
        <f t="shared" si="6"/>
        <v>1473.699559</v>
      </c>
      <c r="Y6" s="137">
        <f t="shared" si="12"/>
        <v>3179.786961</v>
      </c>
      <c r="Z6" s="137">
        <f t="shared" si="7"/>
        <v>1510.889412</v>
      </c>
      <c r="AA6" s="137">
        <f t="shared" si="13"/>
        <v>656.7964541</v>
      </c>
      <c r="AB6" s="155">
        <f t="shared" si="14"/>
        <v>653.0115254</v>
      </c>
      <c r="AC6" s="137">
        <f t="shared" si="8"/>
        <v>54922.24353</v>
      </c>
      <c r="AD6" s="155">
        <f t="shared" si="9"/>
        <v>16695.328</v>
      </c>
      <c r="AE6" s="137">
        <f t="shared" si="10"/>
        <v>19011.54584</v>
      </c>
      <c r="AF6" s="137">
        <f t="shared" si="11"/>
        <v>5779.152</v>
      </c>
      <c r="AG6" s="160" t="s">
        <v>12</v>
      </c>
      <c r="AH6" s="157" t="s">
        <v>2094</v>
      </c>
      <c r="AI6" s="157" t="s">
        <v>92</v>
      </c>
    </row>
    <row r="7" ht="37.5" customHeight="1">
      <c r="A7" s="156"/>
      <c r="B7" s="13"/>
      <c r="C7" s="157" t="s">
        <v>2013</v>
      </c>
      <c r="D7" s="157" t="s">
        <v>2095</v>
      </c>
      <c r="E7" s="157" t="s">
        <v>37</v>
      </c>
      <c r="F7" s="158"/>
      <c r="G7" s="159">
        <v>275.613</v>
      </c>
      <c r="H7" s="160">
        <f>2058/832</f>
        <v>2.473557692</v>
      </c>
      <c r="I7" s="160">
        <f>2012/832</f>
        <v>2.418269231</v>
      </c>
      <c r="J7" s="159">
        <f>4366/1092
</f>
        <v>3.998168498</v>
      </c>
      <c r="K7" s="158">
        <v>44.0</v>
      </c>
      <c r="L7" s="161">
        <f t="shared" si="15"/>
        <v>0.347875</v>
      </c>
      <c r="M7" s="162">
        <f t="shared" si="1"/>
        <v>172.4757456</v>
      </c>
      <c r="N7" s="159">
        <v>2.2</v>
      </c>
      <c r="O7" s="159">
        <v>2.033</v>
      </c>
      <c r="P7" s="163">
        <v>80.0</v>
      </c>
      <c r="Q7" s="163">
        <v>9.0</v>
      </c>
      <c r="R7" s="159">
        <v>2.783</v>
      </c>
      <c r="S7" s="158">
        <v>12.0</v>
      </c>
      <c r="T7" s="137">
        <f t="shared" si="2"/>
        <v>1959.740298</v>
      </c>
      <c r="U7" s="137">
        <f t="shared" si="3"/>
        <v>1274.024482</v>
      </c>
      <c r="V7" s="137">
        <f t="shared" si="4"/>
        <v>1231.326893</v>
      </c>
      <c r="W7" s="141">
        <f t="shared" si="5"/>
        <v>307.9727363</v>
      </c>
      <c r="X7" s="137">
        <f t="shared" si="6"/>
        <v>1203.804523</v>
      </c>
      <c r="Y7" s="137">
        <f t="shared" si="12"/>
        <v>2073.990059</v>
      </c>
      <c r="Z7" s="137">
        <f t="shared" si="7"/>
        <v>792.2759612</v>
      </c>
      <c r="AA7" s="137">
        <f t="shared" si="13"/>
        <v>515.0575166</v>
      </c>
      <c r="AB7" s="155">
        <f t="shared" si="14"/>
        <v>497.7959061</v>
      </c>
      <c r="AC7" s="137">
        <f t="shared" si="8"/>
        <v>29996.76488</v>
      </c>
      <c r="AD7" s="155">
        <f t="shared" si="9"/>
        <v>12126.972</v>
      </c>
      <c r="AE7" s="137">
        <f t="shared" si="10"/>
        <v>8180.935875</v>
      </c>
      <c r="AF7" s="137">
        <f t="shared" si="11"/>
        <v>3307.356</v>
      </c>
      <c r="AG7" s="160" t="s">
        <v>23</v>
      </c>
      <c r="AH7" s="157" t="s">
        <v>2096</v>
      </c>
      <c r="AI7" s="157" t="s">
        <v>92</v>
      </c>
    </row>
    <row r="8" ht="37.5" customHeight="1">
      <c r="A8" s="136"/>
      <c r="B8" s="13"/>
      <c r="C8" s="14" t="s">
        <v>35</v>
      </c>
      <c r="D8" s="128" t="s">
        <v>2001</v>
      </c>
      <c r="E8" s="14" t="s">
        <v>37</v>
      </c>
      <c r="F8" s="140">
        <v>14508.0</v>
      </c>
      <c r="G8" s="3">
        <v>282.831</v>
      </c>
      <c r="H8" s="139">
        <v>2.09</v>
      </c>
      <c r="I8" s="139">
        <v>1.86</v>
      </c>
      <c r="J8" s="150">
        <v>1.172</v>
      </c>
      <c r="K8" s="154">
        <v>44.0</v>
      </c>
      <c r="L8" s="152">
        <f t="shared" si="15"/>
        <v>0.6257272727</v>
      </c>
      <c r="M8" s="153">
        <f t="shared" si="1"/>
        <v>95.88842075</v>
      </c>
      <c r="N8" s="152">
        <v>1.233</v>
      </c>
      <c r="O8" s="152">
        <v>0.883</v>
      </c>
      <c r="P8" s="138">
        <v>53.0</v>
      </c>
      <c r="Q8" s="138">
        <v>12.0</v>
      </c>
      <c r="R8" s="152">
        <v>6.883</v>
      </c>
      <c r="S8" s="141">
        <v>13.0</v>
      </c>
      <c r="T8" s="137">
        <f t="shared" si="2"/>
        <v>944.6875912</v>
      </c>
      <c r="U8" s="137">
        <f t="shared" si="3"/>
        <v>913.391898</v>
      </c>
      <c r="V8" s="137">
        <f t="shared" si="4"/>
        <v>874.0021538</v>
      </c>
      <c r="W8" s="141">
        <f t="shared" si="5"/>
        <v>745.7356261</v>
      </c>
      <c r="X8" s="137">
        <f t="shared" si="6"/>
        <v>777.8200986</v>
      </c>
      <c r="Y8" s="137">
        <f t="shared" si="12"/>
        <v>1418.476223</v>
      </c>
      <c r="Z8" s="137">
        <f t="shared" si="7"/>
        <v>452.0036321</v>
      </c>
      <c r="AA8" s="137">
        <f t="shared" si="13"/>
        <v>437.0296163</v>
      </c>
      <c r="AB8" s="155">
        <f t="shared" si="14"/>
        <v>418.1828487</v>
      </c>
      <c r="AC8" s="137">
        <f t="shared" si="8"/>
        <v>26009.13876</v>
      </c>
      <c r="AD8" s="155">
        <f t="shared" si="9"/>
        <v>12444.564</v>
      </c>
      <c r="AE8" s="137">
        <f t="shared" si="10"/>
        <v>7684.51827</v>
      </c>
      <c r="AF8" s="137">
        <f t="shared" si="11"/>
        <v>3676.803</v>
      </c>
      <c r="AG8" s="151">
        <v>13.2</v>
      </c>
      <c r="AH8" s="128" t="s">
        <v>2097</v>
      </c>
      <c r="AI8" s="128" t="s">
        <v>92</v>
      </c>
    </row>
    <row r="9" ht="37.5" customHeight="1">
      <c r="A9" s="136"/>
      <c r="B9" s="13"/>
      <c r="C9" s="14" t="s">
        <v>2010</v>
      </c>
      <c r="D9" s="14" t="s">
        <v>2011</v>
      </c>
      <c r="E9" s="14" t="s">
        <v>26</v>
      </c>
      <c r="F9" s="141">
        <v>1297.0</v>
      </c>
      <c r="G9" s="150">
        <v>25.453</v>
      </c>
      <c r="H9" s="151">
        <v>1.96</v>
      </c>
      <c r="I9" s="151">
        <v>1.66</v>
      </c>
      <c r="J9" s="150">
        <f>743/530</f>
        <v>1.401886792</v>
      </c>
      <c r="K9" s="137" t="s">
        <v>12</v>
      </c>
      <c r="L9" s="152">
        <f t="shared" si="15"/>
        <v>0.1003333333</v>
      </c>
      <c r="M9" s="153">
        <f t="shared" si="1"/>
        <v>598.0066445</v>
      </c>
      <c r="N9" s="150">
        <v>1.117</v>
      </c>
      <c r="O9" s="150">
        <v>0.983</v>
      </c>
      <c r="P9" s="154">
        <v>93.0</v>
      </c>
      <c r="Q9" s="154">
        <v>52.0</v>
      </c>
      <c r="R9" s="152">
        <v>5.117</v>
      </c>
      <c r="S9" s="141" t="s">
        <v>12</v>
      </c>
      <c r="T9" s="137">
        <f t="shared" si="2"/>
        <v>497.2213953</v>
      </c>
      <c r="U9" s="137">
        <f t="shared" si="3"/>
        <v>425.2737311</v>
      </c>
      <c r="V9" s="137">
        <f t="shared" si="4"/>
        <v>416.1324607</v>
      </c>
      <c r="W9" s="141">
        <f t="shared" si="5"/>
        <v>296.8374215</v>
      </c>
      <c r="X9" s="137">
        <f t="shared" si="6"/>
        <v>352.4387167</v>
      </c>
      <c r="Y9" s="137">
        <f t="shared" si="12"/>
        <v>662.8395624</v>
      </c>
      <c r="Z9" s="137">
        <f t="shared" si="7"/>
        <v>253.6843854</v>
      </c>
      <c r="AA9" s="137">
        <f t="shared" si="13"/>
        <v>216.9763934</v>
      </c>
      <c r="AB9" s="155">
        <f t="shared" si="14"/>
        <v>212.3124799</v>
      </c>
      <c r="AC9" s="137" t="s">
        <v>2012</v>
      </c>
      <c r="AD9" s="155" t="s">
        <v>2012</v>
      </c>
      <c r="AE9" s="141" t="s">
        <v>12</v>
      </c>
      <c r="AF9" s="137" t="s">
        <v>12</v>
      </c>
      <c r="AG9" s="139">
        <v>26.2</v>
      </c>
      <c r="AH9" s="128" t="s">
        <v>2098</v>
      </c>
      <c r="AI9" s="128" t="s">
        <v>92</v>
      </c>
    </row>
    <row r="10" ht="37.5" customHeight="1">
      <c r="A10" s="136"/>
      <c r="B10" s="128"/>
      <c r="C10" s="128" t="s">
        <v>2099</v>
      </c>
      <c r="D10" s="14" t="s">
        <v>1996</v>
      </c>
      <c r="E10" s="14" t="s">
        <v>37</v>
      </c>
      <c r="F10" s="138">
        <v>55135.0</v>
      </c>
      <c r="G10" s="152">
        <v>1079.425</v>
      </c>
      <c r="H10" s="139">
        <v>1.25</v>
      </c>
      <c r="I10" s="139">
        <v>1.05</v>
      </c>
      <c r="J10" s="152" t="s">
        <v>12</v>
      </c>
      <c r="K10" s="154">
        <v>20.0</v>
      </c>
      <c r="L10" s="152">
        <v>6.0</v>
      </c>
      <c r="M10" s="164" t="s">
        <v>12</v>
      </c>
      <c r="N10" s="150" t="s">
        <v>12</v>
      </c>
      <c r="O10" s="150" t="s">
        <v>12</v>
      </c>
      <c r="P10" s="154" t="s">
        <v>12</v>
      </c>
      <c r="Q10" s="154">
        <v>1.0</v>
      </c>
      <c r="R10" s="150">
        <v>0.0</v>
      </c>
      <c r="S10" s="141">
        <v>7.0</v>
      </c>
      <c r="T10" s="137">
        <f t="shared" si="2"/>
        <v>224.8802083</v>
      </c>
      <c r="U10" s="141" t="s">
        <v>12</v>
      </c>
      <c r="V10" s="137">
        <f t="shared" si="4"/>
        <v>224.8802083</v>
      </c>
      <c r="W10" s="141">
        <f t="shared" si="5"/>
        <v>224.8802083</v>
      </c>
      <c r="X10" s="137">
        <f t="shared" si="6"/>
        <v>188.899375</v>
      </c>
      <c r="Y10" s="137">
        <f t="shared" si="12"/>
        <v>357.1097708</v>
      </c>
      <c r="Z10" s="137">
        <f t="shared" si="7"/>
        <v>179.9041667</v>
      </c>
      <c r="AA10" s="141" t="s">
        <v>12</v>
      </c>
      <c r="AB10" s="155">
        <f>G10/L10</f>
        <v>179.9041667</v>
      </c>
      <c r="AC10" s="137">
        <f t="shared" ref="AC10:AC17" si="16">AD10*H10</f>
        <v>26985.625</v>
      </c>
      <c r="AD10" s="155">
        <f t="shared" ref="AD10:AD22" si="17">K10*G10</f>
        <v>21588.5</v>
      </c>
      <c r="AE10" s="137">
        <f t="shared" ref="AE10:AE27" si="18">AF10*H10</f>
        <v>9444.96875</v>
      </c>
      <c r="AF10" s="137">
        <f t="shared" ref="AF10:AF22" si="19">S10*G10</f>
        <v>7555.975</v>
      </c>
      <c r="AG10" s="139" t="s">
        <v>12</v>
      </c>
      <c r="AH10" s="128" t="s">
        <v>2100</v>
      </c>
      <c r="AI10" s="128" t="s">
        <v>92</v>
      </c>
    </row>
    <row r="11" ht="37.5" customHeight="1">
      <c r="A11" s="136"/>
      <c r="B11" s="13"/>
      <c r="C11" s="14" t="s">
        <v>2024</v>
      </c>
      <c r="D11" s="14" t="s">
        <v>2101</v>
      </c>
      <c r="E11" s="14" t="s">
        <v>37</v>
      </c>
      <c r="F11" s="138">
        <f>40710</f>
        <v>40710</v>
      </c>
      <c r="G11" s="152">
        <v>831.194</v>
      </c>
      <c r="H11" s="139">
        <v>1.6</v>
      </c>
      <c r="I11" s="139">
        <v>1.5</v>
      </c>
      <c r="J11" s="152" t="s">
        <v>12</v>
      </c>
      <c r="K11" s="154">
        <v>19.0</v>
      </c>
      <c r="L11" s="152">
        <f t="shared" ref="L11:L15" si="20">R11/(Q11-1)</f>
        <v>1.086166667</v>
      </c>
      <c r="M11" s="153">
        <f t="shared" ref="M11:M22" si="21">60/L11</f>
        <v>55.24014117</v>
      </c>
      <c r="N11" s="152">
        <v>2.533</v>
      </c>
      <c r="O11" s="152">
        <v>1.883</v>
      </c>
      <c r="P11" s="138">
        <v>34.0</v>
      </c>
      <c r="Q11" s="138">
        <v>7.0</v>
      </c>
      <c r="R11" s="152">
        <v>6.517</v>
      </c>
      <c r="S11" s="141">
        <v>9.0</v>
      </c>
      <c r="T11" s="137">
        <f t="shared" si="2"/>
        <v>1224.407304</v>
      </c>
      <c r="U11" s="137">
        <f t="shared" ref="U11:U17" si="22">AA11*H11</f>
        <v>1108.258667</v>
      </c>
      <c r="V11" s="137">
        <f t="shared" si="4"/>
        <v>1028.659978</v>
      </c>
      <c r="W11" s="141">
        <f t="shared" si="5"/>
        <v>1028.659978</v>
      </c>
      <c r="X11" s="137">
        <f t="shared" si="6"/>
        <v>964.3687293</v>
      </c>
      <c r="Y11" s="141" t="s">
        <v>12</v>
      </c>
      <c r="Z11" s="137">
        <f t="shared" si="7"/>
        <v>765.254565</v>
      </c>
      <c r="AA11" s="137">
        <f t="shared" ref="AA11:AA22" si="23">(G11*Q11)/(R11+O11)</f>
        <v>692.6616667</v>
      </c>
      <c r="AB11" s="155">
        <f t="shared" ref="AB11:AB22" si="24">(Q11*G11)/(R11+N11)</f>
        <v>642.9124862</v>
      </c>
      <c r="AC11" s="137">
        <f t="shared" si="16"/>
        <v>25268.2976</v>
      </c>
      <c r="AD11" s="155">
        <f t="shared" si="17"/>
        <v>15792.686</v>
      </c>
      <c r="AE11" s="137">
        <f t="shared" si="18"/>
        <v>11969.1936</v>
      </c>
      <c r="AF11" s="137">
        <f t="shared" si="19"/>
        <v>7480.746</v>
      </c>
      <c r="AG11" s="139">
        <v>15.68</v>
      </c>
      <c r="AH11" s="128" t="s">
        <v>2102</v>
      </c>
      <c r="AI11" s="128" t="s">
        <v>120</v>
      </c>
    </row>
    <row r="12" ht="37.5" customHeight="1">
      <c r="A12" s="136"/>
      <c r="B12" s="13"/>
      <c r="C12" s="14" t="s">
        <v>2024</v>
      </c>
      <c r="D12" s="14" t="s">
        <v>2103</v>
      </c>
      <c r="E12" s="14" t="s">
        <v>37</v>
      </c>
      <c r="F12" s="138">
        <f>49899*0.98</f>
        <v>48901.02</v>
      </c>
      <c r="G12" s="152">
        <v>1021.759</v>
      </c>
      <c r="H12" s="139">
        <v>1.39</v>
      </c>
      <c r="I12" s="139">
        <v>1.3</v>
      </c>
      <c r="J12" s="152" t="s">
        <v>12</v>
      </c>
      <c r="K12" s="154">
        <v>23.0</v>
      </c>
      <c r="L12" s="152">
        <f t="shared" si="20"/>
        <v>1.4266</v>
      </c>
      <c r="M12" s="153">
        <f t="shared" si="21"/>
        <v>42.0580401</v>
      </c>
      <c r="N12" s="152">
        <v>3.033</v>
      </c>
      <c r="O12" s="152">
        <v>2.1</v>
      </c>
      <c r="P12" s="138">
        <v>18.0</v>
      </c>
      <c r="Q12" s="138">
        <v>6.0</v>
      </c>
      <c r="R12" s="152">
        <v>7.133</v>
      </c>
      <c r="S12" s="141">
        <v>9.0</v>
      </c>
      <c r="T12" s="137">
        <f t="shared" si="2"/>
        <v>995.5453596</v>
      </c>
      <c r="U12" s="137">
        <f t="shared" si="22"/>
        <v>922.9362136</v>
      </c>
      <c r="V12" s="137">
        <f t="shared" si="4"/>
        <v>838.232349</v>
      </c>
      <c r="W12" s="141">
        <f t="shared" si="5"/>
        <v>838.232349</v>
      </c>
      <c r="X12" s="137">
        <f t="shared" si="6"/>
        <v>783.958312</v>
      </c>
      <c r="Y12" s="141" t="s">
        <v>12</v>
      </c>
      <c r="Z12" s="137">
        <f t="shared" si="7"/>
        <v>716.2196832</v>
      </c>
      <c r="AA12" s="137">
        <f t="shared" si="23"/>
        <v>663.9828875</v>
      </c>
      <c r="AB12" s="155">
        <f t="shared" si="24"/>
        <v>603.0448554</v>
      </c>
      <c r="AC12" s="137">
        <f t="shared" si="16"/>
        <v>32665.63523</v>
      </c>
      <c r="AD12" s="155">
        <f t="shared" si="17"/>
        <v>23500.457</v>
      </c>
      <c r="AE12" s="137">
        <f t="shared" si="18"/>
        <v>12782.20509</v>
      </c>
      <c r="AF12" s="137">
        <f t="shared" si="19"/>
        <v>9195.831</v>
      </c>
      <c r="AG12" s="139">
        <v>16.63</v>
      </c>
      <c r="AH12" s="128" t="s">
        <v>2104</v>
      </c>
      <c r="AI12" s="128" t="s">
        <v>120</v>
      </c>
    </row>
    <row r="13" ht="37.5" customHeight="1">
      <c r="A13" s="136"/>
      <c r="B13" s="13"/>
      <c r="C13" s="14" t="s">
        <v>2024</v>
      </c>
      <c r="D13" s="14" t="s">
        <v>2105</v>
      </c>
      <c r="E13" s="14" t="s">
        <v>37</v>
      </c>
      <c r="F13" s="138">
        <f>36924*0.98</f>
        <v>36185.52</v>
      </c>
      <c r="G13" s="152">
        <v>708.702</v>
      </c>
      <c r="H13" s="139">
        <v>1.39</v>
      </c>
      <c r="I13" s="139">
        <v>1.3</v>
      </c>
      <c r="J13" s="152" t="s">
        <v>12</v>
      </c>
      <c r="K13" s="138">
        <v>22.0</v>
      </c>
      <c r="L13" s="152">
        <f t="shared" si="20"/>
        <v>0.9475714286</v>
      </c>
      <c r="M13" s="153">
        <f t="shared" si="21"/>
        <v>63.31976481</v>
      </c>
      <c r="N13" s="152">
        <v>2.117</v>
      </c>
      <c r="O13" s="152">
        <v>1.75</v>
      </c>
      <c r="P13" s="138">
        <v>48.0</v>
      </c>
      <c r="Q13" s="154">
        <v>8.0</v>
      </c>
      <c r="R13" s="152">
        <v>6.633</v>
      </c>
      <c r="S13" s="141">
        <v>9.0</v>
      </c>
      <c r="T13" s="137">
        <f t="shared" si="2"/>
        <v>1039.600552</v>
      </c>
      <c r="U13" s="137">
        <f t="shared" si="22"/>
        <v>940.0890183</v>
      </c>
      <c r="V13" s="137">
        <f t="shared" si="4"/>
        <v>900.6589989</v>
      </c>
      <c r="W13" s="141">
        <f t="shared" si="5"/>
        <v>900.6589989</v>
      </c>
      <c r="X13" s="137">
        <f t="shared" si="6"/>
        <v>842.3429486</v>
      </c>
      <c r="Y13" s="141" t="s">
        <v>12</v>
      </c>
      <c r="Z13" s="137">
        <f t="shared" si="7"/>
        <v>747.914066</v>
      </c>
      <c r="AA13" s="137">
        <f t="shared" si="23"/>
        <v>676.3230347</v>
      </c>
      <c r="AB13" s="155">
        <f t="shared" si="24"/>
        <v>647.9561143</v>
      </c>
      <c r="AC13" s="137">
        <f t="shared" si="16"/>
        <v>21672.10716</v>
      </c>
      <c r="AD13" s="155">
        <f t="shared" si="17"/>
        <v>15591.444</v>
      </c>
      <c r="AE13" s="137">
        <f t="shared" si="18"/>
        <v>8865.86202</v>
      </c>
      <c r="AF13" s="137">
        <f t="shared" si="19"/>
        <v>6378.318</v>
      </c>
      <c r="AG13" s="139">
        <v>15.05</v>
      </c>
      <c r="AH13" s="128" t="s">
        <v>2106</v>
      </c>
      <c r="AI13" s="128" t="s">
        <v>120</v>
      </c>
    </row>
    <row r="14" ht="37.5" customHeight="1">
      <c r="A14" s="136"/>
      <c r="B14" s="13"/>
      <c r="C14" s="14" t="s">
        <v>2039</v>
      </c>
      <c r="D14" s="14" t="s">
        <v>13</v>
      </c>
      <c r="E14" s="14" t="s">
        <v>37</v>
      </c>
      <c r="F14" s="138">
        <v>23665.0</v>
      </c>
      <c r="G14" s="152">
        <v>459.477</v>
      </c>
      <c r="H14" s="139">
        <v>1.5</v>
      </c>
      <c r="I14" s="139">
        <v>1.0</v>
      </c>
      <c r="J14" s="152" t="s">
        <v>12</v>
      </c>
      <c r="K14" s="138">
        <v>33.0</v>
      </c>
      <c r="L14" s="152">
        <f t="shared" si="20"/>
        <v>0.9095714286</v>
      </c>
      <c r="M14" s="153">
        <f t="shared" si="21"/>
        <v>65.96513272</v>
      </c>
      <c r="N14" s="152">
        <v>1.817</v>
      </c>
      <c r="O14" s="152">
        <v>0.9</v>
      </c>
      <c r="P14" s="138">
        <v>55.0</v>
      </c>
      <c r="Q14" s="138">
        <v>8.0</v>
      </c>
      <c r="R14" s="152">
        <v>6.367</v>
      </c>
      <c r="S14" s="141">
        <v>13.0</v>
      </c>
      <c r="T14" s="137">
        <f t="shared" si="2"/>
        <v>757.7365321</v>
      </c>
      <c r="U14" s="137">
        <f t="shared" si="22"/>
        <v>758.7345535</v>
      </c>
      <c r="V14" s="137">
        <f t="shared" si="4"/>
        <v>673.7199413</v>
      </c>
      <c r="W14" s="141">
        <f t="shared" si="5"/>
        <v>673.7199413</v>
      </c>
      <c r="X14" s="137">
        <f t="shared" si="6"/>
        <v>449.1466276</v>
      </c>
      <c r="Y14" s="141" t="s">
        <v>12</v>
      </c>
      <c r="Z14" s="137">
        <f t="shared" si="7"/>
        <v>505.1576881</v>
      </c>
      <c r="AA14" s="137">
        <f t="shared" si="23"/>
        <v>505.8230356</v>
      </c>
      <c r="AB14" s="155">
        <f t="shared" si="24"/>
        <v>449.1466276</v>
      </c>
      <c r="AC14" s="137">
        <f t="shared" si="16"/>
        <v>22744.1115</v>
      </c>
      <c r="AD14" s="155">
        <f t="shared" si="17"/>
        <v>15162.741</v>
      </c>
      <c r="AE14" s="137">
        <f t="shared" si="18"/>
        <v>8959.8015</v>
      </c>
      <c r="AF14" s="137">
        <f t="shared" si="19"/>
        <v>5973.201</v>
      </c>
      <c r="AG14" s="139">
        <v>18.0</v>
      </c>
      <c r="AH14" s="128" t="s">
        <v>2107</v>
      </c>
      <c r="AI14" s="128" t="s">
        <v>120</v>
      </c>
    </row>
    <row r="15" ht="37.5" customHeight="1">
      <c r="A15" s="136"/>
      <c r="B15" s="13"/>
      <c r="C15" s="14" t="s">
        <v>2039</v>
      </c>
      <c r="D15" s="14" t="s">
        <v>16</v>
      </c>
      <c r="E15" s="14" t="s">
        <v>37</v>
      </c>
      <c r="F15" s="138">
        <v>26887.0</v>
      </c>
      <c r="G15" s="152">
        <v>527.351</v>
      </c>
      <c r="H15" s="139">
        <v>1.5</v>
      </c>
      <c r="I15" s="139">
        <v>1.0</v>
      </c>
      <c r="J15" s="152" t="s">
        <v>12</v>
      </c>
      <c r="K15" s="138">
        <v>34.0</v>
      </c>
      <c r="L15" s="152">
        <f t="shared" si="20"/>
        <v>1</v>
      </c>
      <c r="M15" s="153">
        <f t="shared" si="21"/>
        <v>60</v>
      </c>
      <c r="N15" s="152">
        <v>1.867</v>
      </c>
      <c r="O15" s="152">
        <v>1.217</v>
      </c>
      <c r="P15" s="138">
        <v>46.0</v>
      </c>
      <c r="Q15" s="138">
        <v>7.0</v>
      </c>
      <c r="R15" s="152">
        <v>6.0</v>
      </c>
      <c r="S15" s="141">
        <v>13.0</v>
      </c>
      <c r="T15" s="137">
        <f t="shared" si="2"/>
        <v>791.0265</v>
      </c>
      <c r="U15" s="137">
        <f t="shared" si="22"/>
        <v>767.2419981</v>
      </c>
      <c r="V15" s="137">
        <f t="shared" si="4"/>
        <v>703.8496886</v>
      </c>
      <c r="W15" s="141">
        <f t="shared" si="5"/>
        <v>703.8496886</v>
      </c>
      <c r="X15" s="137">
        <f t="shared" si="6"/>
        <v>469.2331257</v>
      </c>
      <c r="Y15" s="141" t="s">
        <v>12</v>
      </c>
      <c r="Z15" s="137">
        <f t="shared" si="7"/>
        <v>527.351</v>
      </c>
      <c r="AA15" s="137">
        <f t="shared" si="23"/>
        <v>511.4946654</v>
      </c>
      <c r="AB15" s="155">
        <f t="shared" si="24"/>
        <v>469.2331257</v>
      </c>
      <c r="AC15" s="137">
        <f t="shared" si="16"/>
        <v>26894.901</v>
      </c>
      <c r="AD15" s="155">
        <f t="shared" si="17"/>
        <v>17929.934</v>
      </c>
      <c r="AE15" s="137">
        <f t="shared" si="18"/>
        <v>10283.3445</v>
      </c>
      <c r="AF15" s="137">
        <f t="shared" si="19"/>
        <v>6855.563</v>
      </c>
      <c r="AG15" s="139">
        <v>18.88</v>
      </c>
      <c r="AH15" s="128" t="s">
        <v>2108</v>
      </c>
      <c r="AI15" s="128" t="s">
        <v>120</v>
      </c>
    </row>
    <row r="16" ht="37.5" customHeight="1">
      <c r="A16" s="136"/>
      <c r="B16" s="13"/>
      <c r="C16" s="128" t="s">
        <v>2099</v>
      </c>
      <c r="D16" s="14" t="s">
        <v>2109</v>
      </c>
      <c r="E16" s="14" t="s">
        <v>37</v>
      </c>
      <c r="F16" s="138">
        <v>40586.0</v>
      </c>
      <c r="G16" s="152">
        <v>800.505</v>
      </c>
      <c r="H16" s="139">
        <v>1.25</v>
      </c>
      <c r="I16" s="139">
        <v>1.05</v>
      </c>
      <c r="J16" s="152" t="s">
        <v>12</v>
      </c>
      <c r="K16" s="154">
        <v>20.0</v>
      </c>
      <c r="L16" s="152">
        <v>0.667</v>
      </c>
      <c r="M16" s="153">
        <f t="shared" si="21"/>
        <v>89.95502249</v>
      </c>
      <c r="N16" s="152">
        <v>1.5</v>
      </c>
      <c r="O16" s="152">
        <v>1.5</v>
      </c>
      <c r="P16" s="154">
        <v>79.0</v>
      </c>
      <c r="Q16" s="154">
        <v>1.0</v>
      </c>
      <c r="R16" s="150">
        <v>0.0</v>
      </c>
      <c r="S16" s="141">
        <v>7.0</v>
      </c>
      <c r="T16" s="137">
        <f t="shared" si="2"/>
        <v>1500.196777</v>
      </c>
      <c r="U16" s="137">
        <f t="shared" si="22"/>
        <v>667.0875</v>
      </c>
      <c r="V16" s="137">
        <f t="shared" si="4"/>
        <v>667.0875</v>
      </c>
      <c r="W16" s="141">
        <f t="shared" si="5"/>
        <v>667.0875</v>
      </c>
      <c r="X16" s="137">
        <f t="shared" si="6"/>
        <v>560.3535</v>
      </c>
      <c r="Y16" s="141" t="s">
        <v>12</v>
      </c>
      <c r="Z16" s="137">
        <f t="shared" si="7"/>
        <v>1200.157421</v>
      </c>
      <c r="AA16" s="137">
        <f t="shared" si="23"/>
        <v>533.67</v>
      </c>
      <c r="AB16" s="155">
        <f t="shared" si="24"/>
        <v>533.67</v>
      </c>
      <c r="AC16" s="137">
        <f t="shared" si="16"/>
        <v>20012.625</v>
      </c>
      <c r="AD16" s="155">
        <f t="shared" si="17"/>
        <v>16010.1</v>
      </c>
      <c r="AE16" s="137">
        <f t="shared" si="18"/>
        <v>7004.41875</v>
      </c>
      <c r="AF16" s="137">
        <f t="shared" si="19"/>
        <v>5603.535</v>
      </c>
      <c r="AG16" s="139" t="s">
        <v>12</v>
      </c>
      <c r="AH16" s="128" t="s">
        <v>2110</v>
      </c>
      <c r="AI16" s="128" t="s">
        <v>120</v>
      </c>
    </row>
    <row r="17" ht="37.5" customHeight="1">
      <c r="A17" s="136"/>
      <c r="B17" s="13"/>
      <c r="C17" s="14" t="s">
        <v>42</v>
      </c>
      <c r="D17" s="14" t="s">
        <v>2111</v>
      </c>
      <c r="E17" s="14" t="s">
        <v>37</v>
      </c>
      <c r="F17" s="138">
        <v>41625.0</v>
      </c>
      <c r="G17" s="152">
        <v>798.185</v>
      </c>
      <c r="H17" s="139">
        <v>1.39</v>
      </c>
      <c r="I17" s="139">
        <v>1.25</v>
      </c>
      <c r="J17" s="152">
        <f>24377/22008</f>
        <v>1.107642675</v>
      </c>
      <c r="K17" s="154">
        <v>19.0</v>
      </c>
      <c r="L17" s="152">
        <f>R17/(Q17-1)</f>
        <v>1</v>
      </c>
      <c r="M17" s="153">
        <f t="shared" si="21"/>
        <v>60</v>
      </c>
      <c r="N17" s="152">
        <v>3.25</v>
      </c>
      <c r="O17" s="152">
        <v>2.433</v>
      </c>
      <c r="P17" s="138">
        <v>42.0</v>
      </c>
      <c r="Q17" s="138">
        <v>5.0</v>
      </c>
      <c r="R17" s="152">
        <v>4.0</v>
      </c>
      <c r="S17" s="141">
        <v>7.0</v>
      </c>
      <c r="T17" s="137">
        <f t="shared" si="2"/>
        <v>1109.47715</v>
      </c>
      <c r="U17" s="137">
        <f t="shared" si="22"/>
        <v>862.3326209</v>
      </c>
      <c r="V17" s="137">
        <f t="shared" si="4"/>
        <v>765.1566552</v>
      </c>
      <c r="W17" s="141">
        <f t="shared" si="5"/>
        <v>690.7973773</v>
      </c>
      <c r="X17" s="137">
        <f t="shared" si="6"/>
        <v>688.0905172</v>
      </c>
      <c r="Y17" s="141" t="s">
        <v>12</v>
      </c>
      <c r="Z17" s="137">
        <f t="shared" si="7"/>
        <v>798.185</v>
      </c>
      <c r="AA17" s="137">
        <f t="shared" si="23"/>
        <v>620.3831805</v>
      </c>
      <c r="AB17" s="155">
        <f t="shared" si="24"/>
        <v>550.4724138</v>
      </c>
      <c r="AC17" s="137">
        <f t="shared" si="16"/>
        <v>21080.06585</v>
      </c>
      <c r="AD17" s="155">
        <f t="shared" si="17"/>
        <v>15165.515</v>
      </c>
      <c r="AE17" s="137">
        <f t="shared" si="18"/>
        <v>7766.34005</v>
      </c>
      <c r="AF17" s="137">
        <f t="shared" si="19"/>
        <v>5587.295</v>
      </c>
      <c r="AG17" s="139">
        <v>4.62</v>
      </c>
      <c r="AH17" s="128" t="s">
        <v>2112</v>
      </c>
      <c r="AI17" s="128" t="s">
        <v>120</v>
      </c>
    </row>
    <row r="18" ht="37.5" customHeight="1">
      <c r="A18" s="136"/>
      <c r="B18" s="13"/>
      <c r="C18" s="14" t="s">
        <v>1999</v>
      </c>
      <c r="D18" s="14" t="s">
        <v>2113</v>
      </c>
      <c r="E18" s="14" t="s">
        <v>9</v>
      </c>
      <c r="F18" s="138">
        <v>117389.0</v>
      </c>
      <c r="G18" s="152">
        <v>2312.279</v>
      </c>
      <c r="H18" s="139">
        <v>1.28</v>
      </c>
      <c r="I18" s="139">
        <v>1.06</v>
      </c>
      <c r="J18" s="152" t="s">
        <v>12</v>
      </c>
      <c r="K18" s="154">
        <v>9.0</v>
      </c>
      <c r="L18" s="152">
        <v>1.183</v>
      </c>
      <c r="M18" s="153">
        <f t="shared" si="21"/>
        <v>50.71851226</v>
      </c>
      <c r="N18" s="150">
        <v>2.467</v>
      </c>
      <c r="O18" s="150">
        <v>2.167</v>
      </c>
      <c r="P18" s="154">
        <v>60.0</v>
      </c>
      <c r="Q18" s="154">
        <v>1.0</v>
      </c>
      <c r="R18" s="150">
        <v>0.0</v>
      </c>
      <c r="S18" s="141">
        <v>3.0</v>
      </c>
      <c r="T18" s="137">
        <f t="shared" ref="T18:T19" si="25">Z18/1.247*H18+Z18/1.247*0.247*6</f>
        <v>4329.250453</v>
      </c>
      <c r="U18" s="137">
        <f t="shared" ref="U18:U19" si="26">AA18/1.247*H18+AA18/1.247*0.247*6</f>
        <v>2363.407146</v>
      </c>
      <c r="V18" s="137">
        <f t="shared" ref="V18:V19" si="27">AB18/1.247*H18+AB18/1.247*0.247*6</f>
        <v>2076.004575</v>
      </c>
      <c r="W18" s="141">
        <f t="shared" si="5"/>
        <v>2076.004575</v>
      </c>
      <c r="X18" s="137">
        <f t="shared" si="6"/>
        <v>993.5207702</v>
      </c>
      <c r="Y18" s="141" t="s">
        <v>12</v>
      </c>
      <c r="Z18" s="137">
        <f t="shared" si="7"/>
        <v>1954.58918</v>
      </c>
      <c r="AA18" s="137">
        <f t="shared" si="23"/>
        <v>1067.041532</v>
      </c>
      <c r="AB18" s="155">
        <f t="shared" si="24"/>
        <v>937.2837454</v>
      </c>
      <c r="AC18" s="137">
        <f t="shared" ref="AC18:AC19" si="28">AD18/1.247*H18+AD18/1.247*0.247*6</f>
        <v>46093.52958</v>
      </c>
      <c r="AD18" s="155">
        <f t="shared" si="17"/>
        <v>20810.511</v>
      </c>
      <c r="AE18" s="137">
        <f t="shared" si="18"/>
        <v>8879.15136</v>
      </c>
      <c r="AF18" s="137">
        <f t="shared" si="19"/>
        <v>6936.837</v>
      </c>
      <c r="AG18" s="139" t="s">
        <v>12</v>
      </c>
      <c r="AH18" s="128" t="s">
        <v>2114</v>
      </c>
      <c r="AI18" s="128" t="s">
        <v>120</v>
      </c>
    </row>
    <row r="19" ht="37.5" customHeight="1">
      <c r="A19" s="136"/>
      <c r="B19" s="128"/>
      <c r="C19" s="14" t="s">
        <v>1999</v>
      </c>
      <c r="D19" s="14" t="s">
        <v>2115</v>
      </c>
      <c r="E19" s="14" t="s">
        <v>9</v>
      </c>
      <c r="F19" s="138">
        <v>117389.0</v>
      </c>
      <c r="G19" s="152">
        <v>2312.279</v>
      </c>
      <c r="H19" s="139">
        <v>1.28</v>
      </c>
      <c r="I19" s="139">
        <v>1.06</v>
      </c>
      <c r="J19" s="152" t="s">
        <v>12</v>
      </c>
      <c r="K19" s="154">
        <v>9.0</v>
      </c>
      <c r="L19" s="152">
        <v>1.083</v>
      </c>
      <c r="M19" s="153">
        <f t="shared" si="21"/>
        <v>55.40166205</v>
      </c>
      <c r="N19" s="150">
        <v>2.433</v>
      </c>
      <c r="O19" s="150">
        <v>2.167</v>
      </c>
      <c r="P19" s="154">
        <v>74.0</v>
      </c>
      <c r="Q19" s="154">
        <v>1.0</v>
      </c>
      <c r="R19" s="150">
        <v>0.0</v>
      </c>
      <c r="S19" s="141">
        <v>3.0</v>
      </c>
      <c r="T19" s="137">
        <f t="shared" si="25"/>
        <v>4728.996571</v>
      </c>
      <c r="U19" s="137">
        <f t="shared" si="26"/>
        <v>2363.407146</v>
      </c>
      <c r="V19" s="137">
        <f t="shared" si="27"/>
        <v>2105.015736</v>
      </c>
      <c r="W19" s="141">
        <f t="shared" si="5"/>
        <v>2105.015736</v>
      </c>
      <c r="X19" s="137">
        <f t="shared" si="6"/>
        <v>1007.404743</v>
      </c>
      <c r="Y19" s="141" t="s">
        <v>12</v>
      </c>
      <c r="Z19" s="137">
        <f t="shared" si="7"/>
        <v>2135.068329</v>
      </c>
      <c r="AA19" s="137">
        <f t="shared" si="23"/>
        <v>1067.041532</v>
      </c>
      <c r="AB19" s="155">
        <f t="shared" si="24"/>
        <v>950.3818331</v>
      </c>
      <c r="AC19" s="137">
        <f t="shared" si="28"/>
        <v>46093.52958</v>
      </c>
      <c r="AD19" s="155">
        <f t="shared" si="17"/>
        <v>20810.511</v>
      </c>
      <c r="AE19" s="137">
        <f t="shared" si="18"/>
        <v>8879.15136</v>
      </c>
      <c r="AF19" s="137">
        <f t="shared" si="19"/>
        <v>6936.837</v>
      </c>
      <c r="AG19" s="139" t="s">
        <v>12</v>
      </c>
      <c r="AH19" s="128" t="s">
        <v>2114</v>
      </c>
      <c r="AI19" s="128" t="s">
        <v>120</v>
      </c>
    </row>
    <row r="20" ht="37.5" customHeight="1">
      <c r="A20" s="136"/>
      <c r="B20" s="13"/>
      <c r="C20" s="14" t="s">
        <v>42</v>
      </c>
      <c r="D20" s="128" t="s">
        <v>30</v>
      </c>
      <c r="E20" s="14" t="s">
        <v>37</v>
      </c>
      <c r="F20" s="138">
        <v>20091.0</v>
      </c>
      <c r="G20" s="152">
        <f>913.916/2</f>
        <v>456.958</v>
      </c>
      <c r="H20" s="139">
        <v>1.39</v>
      </c>
      <c r="I20" s="139">
        <v>1.25</v>
      </c>
      <c r="J20" s="152">
        <v>1.755</v>
      </c>
      <c r="K20" s="154">
        <v>35.0</v>
      </c>
      <c r="L20" s="152">
        <f t="shared" ref="L20:L22" si="29">R20/(Q20-1)</f>
        <v>0.3988666667</v>
      </c>
      <c r="M20" s="153">
        <f t="shared" si="21"/>
        <v>150.4262076</v>
      </c>
      <c r="N20" s="152">
        <v>6.867000000000001</v>
      </c>
      <c r="O20" s="152">
        <v>6.067</v>
      </c>
      <c r="P20" s="138">
        <v>85.0</v>
      </c>
      <c r="Q20" s="138">
        <v>16.0</v>
      </c>
      <c r="R20" s="152">
        <v>5.983</v>
      </c>
      <c r="S20" s="141">
        <v>8.0</v>
      </c>
      <c r="T20" s="137">
        <f t="shared" ref="T20:T46" si="30">Z20*H20</f>
        <v>1592.440966</v>
      </c>
      <c r="U20" s="137">
        <f t="shared" ref="U20:U22" si="31">AA20*H20</f>
        <v>843.3814041</v>
      </c>
      <c r="V20" s="137">
        <f t="shared" ref="V20:V46" si="32">AB20*H20</f>
        <v>790.8751689</v>
      </c>
      <c r="W20" s="141">
        <f t="shared" si="5"/>
        <v>450.6411219</v>
      </c>
      <c r="X20" s="137">
        <f t="shared" si="6"/>
        <v>711.218677</v>
      </c>
      <c r="Y20" s="141" t="s">
        <v>12</v>
      </c>
      <c r="Z20" s="137">
        <f t="shared" si="7"/>
        <v>1145.640983</v>
      </c>
      <c r="AA20" s="137">
        <f t="shared" si="23"/>
        <v>606.7492116</v>
      </c>
      <c r="AB20" s="155">
        <f t="shared" si="24"/>
        <v>568.9749416</v>
      </c>
      <c r="AC20" s="137">
        <f t="shared" ref="AC20:AC27" si="33">AD20*H20</f>
        <v>22231.0067</v>
      </c>
      <c r="AD20" s="155">
        <f t="shared" si="17"/>
        <v>15993.53</v>
      </c>
      <c r="AE20" s="137">
        <f t="shared" si="18"/>
        <v>5081.37296</v>
      </c>
      <c r="AF20" s="137">
        <f t="shared" si="19"/>
        <v>3655.664</v>
      </c>
      <c r="AG20" s="151">
        <v>7.6</v>
      </c>
      <c r="AH20" s="128" t="s">
        <v>2116</v>
      </c>
      <c r="AI20" s="128" t="s">
        <v>120</v>
      </c>
    </row>
    <row r="21" ht="37.5" customHeight="1">
      <c r="A21" s="136"/>
      <c r="B21" s="13"/>
      <c r="C21" s="14" t="s">
        <v>42</v>
      </c>
      <c r="D21" s="14" t="s">
        <v>2117</v>
      </c>
      <c r="E21" s="14" t="s">
        <v>37</v>
      </c>
      <c r="F21" s="138">
        <v>26093.0</v>
      </c>
      <c r="G21" s="152">
        <v>511.708</v>
      </c>
      <c r="H21" s="139">
        <v>1.39</v>
      </c>
      <c r="I21" s="139">
        <v>1.25</v>
      </c>
      <c r="J21" s="152">
        <f>16187/14616</f>
        <v>1.107484948</v>
      </c>
      <c r="K21" s="154">
        <v>25.0</v>
      </c>
      <c r="L21" s="152">
        <f t="shared" si="29"/>
        <v>0.4305</v>
      </c>
      <c r="M21" s="153">
        <f t="shared" si="21"/>
        <v>139.3728223</v>
      </c>
      <c r="N21" s="152">
        <v>3.333</v>
      </c>
      <c r="O21" s="152">
        <v>2.85</v>
      </c>
      <c r="P21" s="138">
        <v>73.0</v>
      </c>
      <c r="Q21" s="138">
        <v>8.0</v>
      </c>
      <c r="R21" s="152">
        <v>3.0135</v>
      </c>
      <c r="S21" s="141">
        <v>7.0</v>
      </c>
      <c r="T21" s="137">
        <f t="shared" si="30"/>
        <v>1652.204692</v>
      </c>
      <c r="U21" s="137">
        <f t="shared" si="31"/>
        <v>970.4430732</v>
      </c>
      <c r="V21" s="137">
        <f t="shared" si="32"/>
        <v>896.5875616</v>
      </c>
      <c r="W21" s="141">
        <f t="shared" si="5"/>
        <v>809.5708779</v>
      </c>
      <c r="X21" s="137">
        <f t="shared" si="6"/>
        <v>806.2837785</v>
      </c>
      <c r="Y21" s="141" t="s">
        <v>12</v>
      </c>
      <c r="Z21" s="137">
        <f t="shared" si="7"/>
        <v>1188.636469</v>
      </c>
      <c r="AA21" s="137">
        <f t="shared" si="23"/>
        <v>698.1604844</v>
      </c>
      <c r="AB21" s="155">
        <f t="shared" si="24"/>
        <v>645.0270228</v>
      </c>
      <c r="AC21" s="137">
        <f t="shared" si="33"/>
        <v>17781.853</v>
      </c>
      <c r="AD21" s="155">
        <f t="shared" si="17"/>
        <v>12792.7</v>
      </c>
      <c r="AE21" s="137">
        <f t="shared" si="18"/>
        <v>4978.91884</v>
      </c>
      <c r="AF21" s="137">
        <f t="shared" si="19"/>
        <v>3581.956</v>
      </c>
      <c r="AG21" s="139">
        <v>4.77</v>
      </c>
      <c r="AH21" s="128" t="s">
        <v>2118</v>
      </c>
      <c r="AI21" s="128" t="s">
        <v>120</v>
      </c>
    </row>
    <row r="22" ht="37.5" customHeight="1">
      <c r="A22" s="136"/>
      <c r="B22" s="128"/>
      <c r="C22" s="14" t="s">
        <v>2021</v>
      </c>
      <c r="D22" s="14" t="s">
        <v>1998</v>
      </c>
      <c r="E22" s="14" t="s">
        <v>37</v>
      </c>
      <c r="F22" s="138">
        <v>21954.0</v>
      </c>
      <c r="G22" s="152">
        <v>427.926</v>
      </c>
      <c r="H22" s="139">
        <v>3.29</v>
      </c>
      <c r="I22" s="139">
        <v>2.26</v>
      </c>
      <c r="J22" s="152">
        <v>3.44</v>
      </c>
      <c r="K22" s="154">
        <v>31.0</v>
      </c>
      <c r="L22" s="152">
        <f t="shared" si="29"/>
        <v>0.4333333333</v>
      </c>
      <c r="M22" s="153">
        <f t="shared" si="21"/>
        <v>138.4615385</v>
      </c>
      <c r="N22" s="152">
        <v>1.767</v>
      </c>
      <c r="O22" s="152">
        <v>1.767</v>
      </c>
      <c r="P22" s="138">
        <v>83.0</v>
      </c>
      <c r="Q22" s="138">
        <v>7.0</v>
      </c>
      <c r="R22" s="152">
        <v>2.6</v>
      </c>
      <c r="S22" s="141">
        <v>11.0</v>
      </c>
      <c r="T22" s="137">
        <f t="shared" si="30"/>
        <v>3248.945862</v>
      </c>
      <c r="U22" s="137">
        <f t="shared" si="31"/>
        <v>2256.729054</v>
      </c>
      <c r="V22" s="137">
        <f t="shared" si="32"/>
        <v>2256.729054</v>
      </c>
      <c r="W22" s="141">
        <f t="shared" si="5"/>
        <v>656.0258879</v>
      </c>
      <c r="X22" s="137">
        <f t="shared" si="6"/>
        <v>1550.215095</v>
      </c>
      <c r="Y22" s="141" t="s">
        <v>12</v>
      </c>
      <c r="Z22" s="137">
        <f t="shared" si="7"/>
        <v>987.5215385</v>
      </c>
      <c r="AA22" s="137">
        <f t="shared" si="23"/>
        <v>685.9358828</v>
      </c>
      <c r="AB22" s="155">
        <f t="shared" si="24"/>
        <v>685.9358828</v>
      </c>
      <c r="AC22" s="137">
        <f t="shared" si="33"/>
        <v>43644.17274</v>
      </c>
      <c r="AD22" s="155">
        <f t="shared" si="17"/>
        <v>13265.706</v>
      </c>
      <c r="AE22" s="137">
        <f t="shared" si="18"/>
        <v>15486.64194</v>
      </c>
      <c r="AF22" s="137">
        <f t="shared" si="19"/>
        <v>4707.186</v>
      </c>
      <c r="AG22" s="139" t="s">
        <v>12</v>
      </c>
      <c r="AH22" s="128" t="s">
        <v>2119</v>
      </c>
      <c r="AI22" s="128" t="s">
        <v>120</v>
      </c>
    </row>
    <row r="23" ht="37.5" customHeight="1">
      <c r="A23" s="136"/>
      <c r="B23" s="13"/>
      <c r="C23" s="14" t="s">
        <v>21</v>
      </c>
      <c r="D23" s="14" t="s">
        <v>2120</v>
      </c>
      <c r="E23" s="14" t="s">
        <v>9</v>
      </c>
      <c r="F23" s="138">
        <f>93187+20502*1.17*2</f>
        <v>141161.68</v>
      </c>
      <c r="G23" s="152">
        <f>1399.092+399.632*2+75.8101*5</f>
        <v>2577.4065</v>
      </c>
      <c r="H23" s="139">
        <v>1.49</v>
      </c>
      <c r="I23" s="139">
        <v>1.18</v>
      </c>
      <c r="J23" s="152" t="s">
        <v>12</v>
      </c>
      <c r="K23" s="154">
        <v>77.0</v>
      </c>
      <c r="L23" s="152">
        <f t="shared" ref="L23:L24" si="34">R23</f>
        <v>2.433</v>
      </c>
      <c r="M23" s="164" t="s">
        <v>12</v>
      </c>
      <c r="N23" s="150" t="s">
        <v>12</v>
      </c>
      <c r="O23" s="150" t="s">
        <v>12</v>
      </c>
      <c r="P23" s="154" t="s">
        <v>12</v>
      </c>
      <c r="Q23" s="154" t="s">
        <v>12</v>
      </c>
      <c r="R23" s="150">
        <v>2.433</v>
      </c>
      <c r="S23" s="141" t="s">
        <v>23</v>
      </c>
      <c r="T23" s="137">
        <f t="shared" si="30"/>
        <v>1578.436369</v>
      </c>
      <c r="U23" s="137" t="s">
        <v>12</v>
      </c>
      <c r="V23" s="137">
        <f t="shared" si="32"/>
        <v>1578.436369</v>
      </c>
      <c r="W23" s="141">
        <f t="shared" si="5"/>
        <v>1578.436369</v>
      </c>
      <c r="X23" s="137">
        <f t="shared" si="6"/>
        <v>1250.036856</v>
      </c>
      <c r="Y23" s="141" t="s">
        <v>12</v>
      </c>
      <c r="Z23" s="137">
        <f t="shared" ref="Z23:Z24" si="35">AB23</f>
        <v>1059.353268</v>
      </c>
      <c r="AA23" s="137" t="s">
        <v>12</v>
      </c>
      <c r="AB23" s="155">
        <f t="shared" ref="AB23:AB24" si="36">G23/L23</f>
        <v>1059.353268</v>
      </c>
      <c r="AC23" s="137">
        <f t="shared" si="33"/>
        <v>49284.30796</v>
      </c>
      <c r="AD23" s="155">
        <f t="shared" ref="AD23:AD24" si="37">K23/6*G23</f>
        <v>33076.71675</v>
      </c>
      <c r="AE23" s="137" t="str">
        <f t="shared" si="18"/>
        <v>#VALUE!</v>
      </c>
      <c r="AF23" s="137" t="str">
        <f t="shared" ref="AF23:AF24" si="38">S23/6*G23</f>
        <v>#VALUE!</v>
      </c>
      <c r="AG23" s="139" t="s">
        <v>12</v>
      </c>
      <c r="AH23" s="128" t="s">
        <v>2121</v>
      </c>
      <c r="AI23" s="128" t="s">
        <v>120</v>
      </c>
    </row>
    <row r="24" ht="37.5" customHeight="1">
      <c r="A24" s="136"/>
      <c r="B24" s="13"/>
      <c r="C24" s="14" t="s">
        <v>21</v>
      </c>
      <c r="D24" s="14" t="s">
        <v>2122</v>
      </c>
      <c r="E24" s="14" t="s">
        <v>9</v>
      </c>
      <c r="F24" s="138">
        <f>106457+20502*1.17*2</f>
        <v>154431.68</v>
      </c>
      <c r="G24" s="152">
        <f>1906.909+399.632*2+75.8101*5</f>
        <v>3085.2235</v>
      </c>
      <c r="H24" s="139">
        <v>1.49</v>
      </c>
      <c r="I24" s="139">
        <v>1.18</v>
      </c>
      <c r="J24" s="152" t="s">
        <v>12</v>
      </c>
      <c r="K24" s="154">
        <v>77.0</v>
      </c>
      <c r="L24" s="152">
        <f t="shared" si="34"/>
        <v>2.633</v>
      </c>
      <c r="M24" s="164" t="s">
        <v>12</v>
      </c>
      <c r="N24" s="150" t="s">
        <v>12</v>
      </c>
      <c r="O24" s="150" t="s">
        <v>12</v>
      </c>
      <c r="P24" s="154" t="s">
        <v>12</v>
      </c>
      <c r="Q24" s="154" t="s">
        <v>12</v>
      </c>
      <c r="R24" s="150">
        <v>2.633</v>
      </c>
      <c r="S24" s="141" t="s">
        <v>23</v>
      </c>
      <c r="T24" s="137">
        <f t="shared" si="30"/>
        <v>1745.910754</v>
      </c>
      <c r="U24" s="137" t="s">
        <v>12</v>
      </c>
      <c r="V24" s="137">
        <f t="shared" si="32"/>
        <v>1745.910754</v>
      </c>
      <c r="W24" s="141">
        <f t="shared" si="5"/>
        <v>1745.910754</v>
      </c>
      <c r="X24" s="137">
        <f t="shared" si="6"/>
        <v>1382.667577</v>
      </c>
      <c r="Y24" s="141" t="s">
        <v>12</v>
      </c>
      <c r="Z24" s="137">
        <f t="shared" si="35"/>
        <v>1171.752184</v>
      </c>
      <c r="AA24" s="137" t="s">
        <v>12</v>
      </c>
      <c r="AB24" s="155">
        <f t="shared" si="36"/>
        <v>1171.752184</v>
      </c>
      <c r="AC24" s="137">
        <f t="shared" si="33"/>
        <v>58994.61536</v>
      </c>
      <c r="AD24" s="155">
        <f t="shared" si="37"/>
        <v>39593.70158</v>
      </c>
      <c r="AE24" s="137" t="str">
        <f t="shared" si="18"/>
        <v>#VALUE!</v>
      </c>
      <c r="AF24" s="137" t="str">
        <f t="shared" si="38"/>
        <v>#VALUE!</v>
      </c>
      <c r="AG24" s="139" t="s">
        <v>12</v>
      </c>
      <c r="AH24" s="128" t="s">
        <v>2123</v>
      </c>
      <c r="AI24" s="128" t="s">
        <v>120</v>
      </c>
    </row>
    <row r="25" ht="37.5" customHeight="1">
      <c r="A25" s="136"/>
      <c r="B25" s="128"/>
      <c r="C25" s="14" t="s">
        <v>2002</v>
      </c>
      <c r="D25" s="14" t="s">
        <v>16</v>
      </c>
      <c r="E25" s="14" t="s">
        <v>9</v>
      </c>
      <c r="F25" s="138">
        <v>3905.0</v>
      </c>
      <c r="G25" s="152">
        <v>76.988</v>
      </c>
      <c r="H25" s="139">
        <v>1.95</v>
      </c>
      <c r="I25" s="139">
        <v>1.56</v>
      </c>
      <c r="J25" s="152">
        <f>2262/1735</f>
        <v>1.303746398</v>
      </c>
      <c r="K25" s="154">
        <v>459.0</v>
      </c>
      <c r="L25" s="152">
        <f t="shared" ref="L25:L46" si="39">R25/(Q25-1)</f>
        <v>0.1001888889</v>
      </c>
      <c r="M25" s="153">
        <f t="shared" ref="M25:M52" si="40">60/L25</f>
        <v>598.8688034</v>
      </c>
      <c r="N25" s="150">
        <v>4.083</v>
      </c>
      <c r="O25" s="150">
        <v>3.1</v>
      </c>
      <c r="P25" s="154">
        <v>51.0</v>
      </c>
      <c r="Q25" s="154">
        <v>91.0</v>
      </c>
      <c r="R25" s="150">
        <v>9.017</v>
      </c>
      <c r="S25" s="141">
        <v>76.0</v>
      </c>
      <c r="T25" s="137">
        <f t="shared" si="30"/>
        <v>1498.435622</v>
      </c>
      <c r="U25" s="137">
        <f t="shared" ref="U25:U46" si="41">AA25*H25</f>
        <v>1127.467244</v>
      </c>
      <c r="V25" s="137">
        <f t="shared" si="32"/>
        <v>1042.864168</v>
      </c>
      <c r="W25" s="141">
        <f t="shared" si="5"/>
        <v>799.8980245</v>
      </c>
      <c r="X25" s="137">
        <f t="shared" si="6"/>
        <v>834.2913344</v>
      </c>
      <c r="Y25" s="137">
        <f t="shared" ref="Y25:Y41" si="42">SUM(X25*0.7,V25)</f>
        <v>1626.868102</v>
      </c>
      <c r="Z25" s="137">
        <f t="shared" ref="Z25:Z52" si="43">G25/L25</f>
        <v>768.4285239</v>
      </c>
      <c r="AA25" s="137">
        <f t="shared" ref="AA25:AA52" si="44">(G25*Q25)/(R25+O25)</f>
        <v>578.1883304</v>
      </c>
      <c r="AB25" s="155">
        <f t="shared" ref="AB25:AB52" si="45">(Q25*G25)/(R25+N25)</f>
        <v>534.8021374</v>
      </c>
      <c r="AC25" s="137">
        <f t="shared" si="33"/>
        <v>68908.1094</v>
      </c>
      <c r="AD25" s="155">
        <f t="shared" ref="AD25:AD27" si="46">K25*G25</f>
        <v>35337.492</v>
      </c>
      <c r="AE25" s="137">
        <f t="shared" si="18"/>
        <v>11409.6216</v>
      </c>
      <c r="AF25" s="137">
        <f t="shared" ref="AF25:AF27" si="47">S25*G25</f>
        <v>5851.088</v>
      </c>
      <c r="AG25" s="139">
        <v>47.21</v>
      </c>
      <c r="AH25" s="128" t="s">
        <v>2124</v>
      </c>
      <c r="AI25" s="128" t="s">
        <v>120</v>
      </c>
    </row>
    <row r="26" ht="37.5" customHeight="1">
      <c r="A26" s="136"/>
      <c r="B26" s="13"/>
      <c r="C26" s="14" t="s">
        <v>2002</v>
      </c>
      <c r="D26" s="14" t="s">
        <v>13</v>
      </c>
      <c r="E26" s="14" t="s">
        <v>9</v>
      </c>
      <c r="F26" s="138">
        <v>4893.0</v>
      </c>
      <c r="G26" s="152">
        <v>95.421</v>
      </c>
      <c r="H26" s="139">
        <v>1.95</v>
      </c>
      <c r="I26" s="139">
        <v>1.56</v>
      </c>
      <c r="J26" s="152">
        <f>2803/2000</f>
        <v>1.4015</v>
      </c>
      <c r="K26" s="154">
        <v>379.0</v>
      </c>
      <c r="L26" s="152">
        <f t="shared" si="39"/>
        <v>0.1335540541</v>
      </c>
      <c r="M26" s="153">
        <f t="shared" si="40"/>
        <v>449.2562987</v>
      </c>
      <c r="N26" s="150">
        <v>3.883</v>
      </c>
      <c r="O26" s="150">
        <v>3.067</v>
      </c>
      <c r="P26" s="154">
        <v>64.0</v>
      </c>
      <c r="Q26" s="154">
        <v>75.0</v>
      </c>
      <c r="R26" s="150">
        <v>9.883</v>
      </c>
      <c r="S26" s="141">
        <v>64.0</v>
      </c>
      <c r="T26" s="137">
        <f t="shared" si="30"/>
        <v>1393.225772</v>
      </c>
      <c r="U26" s="137">
        <f t="shared" si="41"/>
        <v>1077.630985</v>
      </c>
      <c r="V26" s="137">
        <f t="shared" si="32"/>
        <v>1013.752815</v>
      </c>
      <c r="W26" s="141">
        <f t="shared" si="5"/>
        <v>723.3341526</v>
      </c>
      <c r="X26" s="137">
        <f t="shared" si="6"/>
        <v>811.0022519</v>
      </c>
      <c r="Y26" s="137">
        <f t="shared" si="42"/>
        <v>1581.454391</v>
      </c>
      <c r="Z26" s="137">
        <f t="shared" si="43"/>
        <v>714.4747546</v>
      </c>
      <c r="AA26" s="137">
        <f t="shared" si="44"/>
        <v>552.6312741</v>
      </c>
      <c r="AB26" s="155">
        <f t="shared" si="45"/>
        <v>519.8732384</v>
      </c>
      <c r="AC26" s="137">
        <f t="shared" si="33"/>
        <v>70520.89005</v>
      </c>
      <c r="AD26" s="155">
        <f t="shared" si="46"/>
        <v>36164.559</v>
      </c>
      <c r="AE26" s="137">
        <f t="shared" si="18"/>
        <v>11908.5408</v>
      </c>
      <c r="AF26" s="137">
        <f t="shared" si="47"/>
        <v>6106.944</v>
      </c>
      <c r="AG26" s="139">
        <v>47.67</v>
      </c>
      <c r="AH26" s="128" t="s">
        <v>2124</v>
      </c>
      <c r="AI26" s="128" t="s">
        <v>120</v>
      </c>
    </row>
    <row r="27" ht="37.5" customHeight="1">
      <c r="A27" s="136"/>
      <c r="B27" s="13"/>
      <c r="C27" s="14" t="s">
        <v>2002</v>
      </c>
      <c r="D27" s="14" t="s">
        <v>264</v>
      </c>
      <c r="E27" s="14" t="s">
        <v>9</v>
      </c>
      <c r="F27" s="138">
        <v>5790.0</v>
      </c>
      <c r="G27" s="152">
        <v>112.26</v>
      </c>
      <c r="H27" s="139">
        <v>1.95</v>
      </c>
      <c r="I27" s="139">
        <v>1.56</v>
      </c>
      <c r="J27" s="152">
        <f>3298/2289</f>
        <v>1.440803844</v>
      </c>
      <c r="K27" s="154">
        <v>379.0</v>
      </c>
      <c r="L27" s="152">
        <f t="shared" si="39"/>
        <v>0.1669230769</v>
      </c>
      <c r="M27" s="153">
        <f t="shared" si="40"/>
        <v>359.4470046</v>
      </c>
      <c r="N27" s="150">
        <v>4.233</v>
      </c>
      <c r="O27" s="150">
        <v>3.183</v>
      </c>
      <c r="P27" s="154">
        <v>41.0</v>
      </c>
      <c r="Q27" s="154">
        <v>66.0</v>
      </c>
      <c r="R27" s="150">
        <v>10.85</v>
      </c>
      <c r="S27" s="141">
        <v>64.0</v>
      </c>
      <c r="T27" s="137">
        <f t="shared" si="30"/>
        <v>1311.424424</v>
      </c>
      <c r="U27" s="137">
        <f t="shared" si="41"/>
        <v>1029.563315</v>
      </c>
      <c r="V27" s="137">
        <f t="shared" si="32"/>
        <v>957.8904727</v>
      </c>
      <c r="W27" s="141">
        <f t="shared" si="5"/>
        <v>664.8305919</v>
      </c>
      <c r="X27" s="137">
        <f t="shared" si="6"/>
        <v>766.3123782</v>
      </c>
      <c r="Y27" s="137">
        <f t="shared" si="42"/>
        <v>1494.309137</v>
      </c>
      <c r="Z27" s="137">
        <f t="shared" si="43"/>
        <v>672.5253456</v>
      </c>
      <c r="AA27" s="137">
        <f t="shared" si="44"/>
        <v>527.9811872</v>
      </c>
      <c r="AB27" s="155">
        <f t="shared" si="45"/>
        <v>491.2258834</v>
      </c>
      <c r="AC27" s="137">
        <f t="shared" si="33"/>
        <v>82965.753</v>
      </c>
      <c r="AD27" s="155">
        <f t="shared" si="46"/>
        <v>42546.54</v>
      </c>
      <c r="AE27" s="137">
        <f t="shared" si="18"/>
        <v>14010.048</v>
      </c>
      <c r="AF27" s="137">
        <f t="shared" si="47"/>
        <v>7184.64</v>
      </c>
      <c r="AG27" s="139">
        <v>47.85</v>
      </c>
      <c r="AH27" s="128" t="s">
        <v>2125</v>
      </c>
      <c r="AI27" s="128" t="s">
        <v>120</v>
      </c>
    </row>
    <row r="28" ht="37.5" customHeight="1">
      <c r="A28" s="136"/>
      <c r="B28" s="13"/>
      <c r="C28" s="14" t="s">
        <v>2013</v>
      </c>
      <c r="D28" s="128" t="s">
        <v>2126</v>
      </c>
      <c r="E28" s="14" t="s">
        <v>26</v>
      </c>
      <c r="F28" s="141"/>
      <c r="G28" s="150">
        <v>190.896</v>
      </c>
      <c r="H28" s="151">
        <v>2.47</v>
      </c>
      <c r="I28" s="151">
        <v>2.42</v>
      </c>
      <c r="J28" s="150">
        <f>153/130</f>
        <v>1.176923077</v>
      </c>
      <c r="K28" s="137" t="s">
        <v>12</v>
      </c>
      <c r="L28" s="152">
        <f t="shared" si="39"/>
        <v>0.6018888889</v>
      </c>
      <c r="M28" s="153">
        <f t="shared" si="40"/>
        <v>99.68617316</v>
      </c>
      <c r="N28" s="150">
        <v>1.9</v>
      </c>
      <c r="O28" s="150">
        <v>1.517</v>
      </c>
      <c r="P28" s="154">
        <v>51.0</v>
      </c>
      <c r="Q28" s="154">
        <v>10.0</v>
      </c>
      <c r="R28" s="150">
        <v>5.417</v>
      </c>
      <c r="S28" s="141" t="s">
        <v>12</v>
      </c>
      <c r="T28" s="137">
        <f t="shared" si="30"/>
        <v>783.3889754</v>
      </c>
      <c r="U28" s="137">
        <f t="shared" si="41"/>
        <v>680.0016152</v>
      </c>
      <c r="V28" s="137">
        <f t="shared" si="32"/>
        <v>644.4077081</v>
      </c>
      <c r="W28" s="141">
        <f t="shared" si="5"/>
        <v>547.5359611</v>
      </c>
      <c r="X28" s="137">
        <f t="shared" si="6"/>
        <v>631.3630176</v>
      </c>
      <c r="Y28" s="137">
        <f t="shared" si="42"/>
        <v>1086.36182</v>
      </c>
      <c r="Z28" s="137">
        <f t="shared" si="43"/>
        <v>317.1615285</v>
      </c>
      <c r="AA28" s="137">
        <f t="shared" si="44"/>
        <v>275.3042977</v>
      </c>
      <c r="AB28" s="155">
        <f t="shared" si="45"/>
        <v>260.8938089</v>
      </c>
      <c r="AC28" s="137" t="s">
        <v>2012</v>
      </c>
      <c r="AD28" s="155" t="s">
        <v>2012</v>
      </c>
      <c r="AE28" s="141" t="s">
        <v>12</v>
      </c>
      <c r="AF28" s="137" t="s">
        <v>12</v>
      </c>
      <c r="AG28" s="151" t="s">
        <v>23</v>
      </c>
      <c r="AH28" s="128" t="s">
        <v>2127</v>
      </c>
      <c r="AI28" s="128" t="s">
        <v>120</v>
      </c>
    </row>
    <row r="29" ht="37.5" customHeight="1">
      <c r="A29" s="136"/>
      <c r="B29" s="128"/>
      <c r="C29" s="14" t="s">
        <v>35</v>
      </c>
      <c r="D29" s="14" t="s">
        <v>2042</v>
      </c>
      <c r="E29" s="14" t="s">
        <v>26</v>
      </c>
      <c r="F29" s="141">
        <v>2469.0</v>
      </c>
      <c r="G29" s="150">
        <f>144.564/3</f>
        <v>48.188</v>
      </c>
      <c r="H29" s="151">
        <v>1.67</v>
      </c>
      <c r="I29" s="151">
        <v>1.49</v>
      </c>
      <c r="J29" s="150">
        <v>1.855</v>
      </c>
      <c r="K29" s="137" t="s">
        <v>12</v>
      </c>
      <c r="L29" s="152">
        <f t="shared" si="39"/>
        <v>0.1195121951</v>
      </c>
      <c r="M29" s="153">
        <f t="shared" si="40"/>
        <v>502.0408163</v>
      </c>
      <c r="N29" s="150">
        <v>1.3</v>
      </c>
      <c r="O29" s="150">
        <v>1.017</v>
      </c>
      <c r="P29" s="154">
        <v>54.0</v>
      </c>
      <c r="Q29" s="154">
        <v>42.0</v>
      </c>
      <c r="R29" s="150">
        <v>4.9</v>
      </c>
      <c r="S29" s="141" t="s">
        <v>12</v>
      </c>
      <c r="T29" s="137">
        <f t="shared" si="30"/>
        <v>673.3535429</v>
      </c>
      <c r="U29" s="137">
        <f t="shared" si="41"/>
        <v>571.219591</v>
      </c>
      <c r="V29" s="137">
        <f t="shared" si="32"/>
        <v>545.1461806</v>
      </c>
      <c r="W29" s="141">
        <f t="shared" si="5"/>
        <v>293.8793427</v>
      </c>
      <c r="X29" s="137">
        <f t="shared" si="6"/>
        <v>486.3879097</v>
      </c>
      <c r="Y29" s="137">
        <f t="shared" si="42"/>
        <v>885.6177174</v>
      </c>
      <c r="Z29" s="137">
        <f t="shared" si="43"/>
        <v>403.2057143</v>
      </c>
      <c r="AA29" s="137">
        <f t="shared" si="44"/>
        <v>342.0476593</v>
      </c>
      <c r="AB29" s="155">
        <f t="shared" si="45"/>
        <v>326.4348387</v>
      </c>
      <c r="AC29" s="137" t="s">
        <v>2012</v>
      </c>
      <c r="AD29" s="155" t="s">
        <v>2012</v>
      </c>
      <c r="AE29" s="141" t="s">
        <v>12</v>
      </c>
      <c r="AF29" s="137" t="s">
        <v>12</v>
      </c>
      <c r="AG29" s="139">
        <v>14.78</v>
      </c>
      <c r="AH29" s="128" t="s">
        <v>2128</v>
      </c>
      <c r="AI29" s="128" t="s">
        <v>120</v>
      </c>
    </row>
    <row r="30" ht="37.5" customHeight="1">
      <c r="A30" s="156"/>
      <c r="B30" s="13"/>
      <c r="C30" s="157" t="s">
        <v>2013</v>
      </c>
      <c r="D30" s="157" t="s">
        <v>2095</v>
      </c>
      <c r="E30" s="157" t="s">
        <v>26</v>
      </c>
      <c r="F30" s="158"/>
      <c r="G30" s="159">
        <v>107.19</v>
      </c>
      <c r="H30" s="160">
        <f>696/324</f>
        <v>2.148148148</v>
      </c>
      <c r="I30" s="160">
        <f>783/324</f>
        <v>2.416666667</v>
      </c>
      <c r="J30" s="159">
        <f>1698/1090</f>
        <v>1.557798165</v>
      </c>
      <c r="K30" s="158" t="s">
        <v>12</v>
      </c>
      <c r="L30" s="161">
        <f t="shared" si="39"/>
        <v>0.3474615385</v>
      </c>
      <c r="M30" s="162">
        <f t="shared" si="40"/>
        <v>172.680983</v>
      </c>
      <c r="N30" s="159">
        <v>2.25</v>
      </c>
      <c r="O30" s="159">
        <v>2.05</v>
      </c>
      <c r="P30" s="163">
        <v>80.0</v>
      </c>
      <c r="Q30" s="163">
        <v>14.0</v>
      </c>
      <c r="R30" s="159">
        <v>4.517</v>
      </c>
      <c r="S30" s="160" t="s">
        <v>12</v>
      </c>
      <c r="T30" s="137">
        <f t="shared" si="30"/>
        <v>662.6920522</v>
      </c>
      <c r="U30" s="137">
        <f t="shared" si="41"/>
        <v>490.8847267</v>
      </c>
      <c r="V30" s="137">
        <f t="shared" si="32"/>
        <v>476.3765332</v>
      </c>
      <c r="W30" s="141">
        <f t="shared" si="5"/>
        <v>305.8011903</v>
      </c>
      <c r="X30" s="137">
        <f t="shared" si="6"/>
        <v>535.9235998</v>
      </c>
      <c r="Y30" s="137">
        <f t="shared" si="42"/>
        <v>851.5230531</v>
      </c>
      <c r="Z30" s="137">
        <f t="shared" si="43"/>
        <v>308.494576</v>
      </c>
      <c r="AA30" s="137">
        <f t="shared" si="44"/>
        <v>228.5153038</v>
      </c>
      <c r="AB30" s="155">
        <f t="shared" si="45"/>
        <v>221.7614896</v>
      </c>
      <c r="AC30" s="137" t="s">
        <v>2012</v>
      </c>
      <c r="AD30" s="155" t="s">
        <v>2012</v>
      </c>
      <c r="AE30" s="141" t="s">
        <v>12</v>
      </c>
      <c r="AF30" s="137" t="s">
        <v>12</v>
      </c>
      <c r="AG30" s="160" t="s">
        <v>23</v>
      </c>
      <c r="AH30" s="157" t="s">
        <v>2129</v>
      </c>
      <c r="AI30" s="157" t="s">
        <v>120</v>
      </c>
    </row>
    <row r="31" ht="37.5" customHeight="1">
      <c r="A31" s="136"/>
      <c r="B31" s="13"/>
      <c r="C31" s="14" t="s">
        <v>2033</v>
      </c>
      <c r="D31" s="14" t="s">
        <v>13</v>
      </c>
      <c r="E31" s="14" t="s">
        <v>37</v>
      </c>
      <c r="F31" s="138">
        <v>1398.0</v>
      </c>
      <c r="G31" s="150">
        <v>27.242</v>
      </c>
      <c r="H31" s="139">
        <v>1.52</v>
      </c>
      <c r="I31" s="139">
        <v>1.36</v>
      </c>
      <c r="J31" s="152">
        <v>1.343</v>
      </c>
      <c r="K31" s="154">
        <v>519.0</v>
      </c>
      <c r="L31" s="152">
        <f t="shared" si="39"/>
        <v>0.06682524272</v>
      </c>
      <c r="M31" s="153">
        <f t="shared" si="40"/>
        <v>897.8643034</v>
      </c>
      <c r="N31" s="152">
        <v>1.567</v>
      </c>
      <c r="O31" s="152">
        <v>1.267</v>
      </c>
      <c r="P31" s="138">
        <v>64.0</v>
      </c>
      <c r="Q31" s="138">
        <v>104.0</v>
      </c>
      <c r="R31" s="152">
        <v>6.883</v>
      </c>
      <c r="S31" s="141">
        <v>202.0</v>
      </c>
      <c r="T31" s="137">
        <f t="shared" si="30"/>
        <v>619.6436903</v>
      </c>
      <c r="U31" s="137">
        <f t="shared" si="41"/>
        <v>528.3945227</v>
      </c>
      <c r="V31" s="137">
        <f t="shared" si="32"/>
        <v>509.6349538</v>
      </c>
      <c r="W31" s="141">
        <f t="shared" si="5"/>
        <v>379.4750215</v>
      </c>
      <c r="X31" s="137">
        <f t="shared" si="6"/>
        <v>455.9891692</v>
      </c>
      <c r="Y31" s="137">
        <f t="shared" si="42"/>
        <v>828.8273723</v>
      </c>
      <c r="Z31" s="137">
        <f t="shared" si="43"/>
        <v>407.6603225</v>
      </c>
      <c r="AA31" s="137">
        <f t="shared" si="44"/>
        <v>347.6279755</v>
      </c>
      <c r="AB31" s="155">
        <f t="shared" si="45"/>
        <v>335.2861538</v>
      </c>
      <c r="AC31" s="137">
        <f>AD31*H31</f>
        <v>21490.66896</v>
      </c>
      <c r="AD31" s="155">
        <f>K31*G31</f>
        <v>14138.598</v>
      </c>
      <c r="AE31" s="137">
        <f>AF31*H31</f>
        <v>8364.38368</v>
      </c>
      <c r="AF31" s="137">
        <f>S31*G31</f>
        <v>5502.884</v>
      </c>
      <c r="AG31" s="139">
        <v>35.54</v>
      </c>
      <c r="AH31" s="128" t="s">
        <v>2130</v>
      </c>
      <c r="AI31" s="128" t="s">
        <v>120</v>
      </c>
    </row>
    <row r="32" ht="37.5" customHeight="1">
      <c r="A32" s="136"/>
      <c r="B32" s="13"/>
      <c r="C32" s="14" t="s">
        <v>35</v>
      </c>
      <c r="D32" s="14" t="s">
        <v>13</v>
      </c>
      <c r="E32" s="14" t="s">
        <v>26</v>
      </c>
      <c r="F32" s="141">
        <v>3834.0</v>
      </c>
      <c r="G32" s="150">
        <v>74.768</v>
      </c>
      <c r="H32" s="151">
        <v>1.67</v>
      </c>
      <c r="I32" s="151">
        <v>1.49</v>
      </c>
      <c r="J32" s="150">
        <v>1.598</v>
      </c>
      <c r="K32" s="137" t="s">
        <v>12</v>
      </c>
      <c r="L32" s="152">
        <f t="shared" si="39"/>
        <v>0.2</v>
      </c>
      <c r="M32" s="153">
        <f t="shared" si="40"/>
        <v>300</v>
      </c>
      <c r="N32" s="150">
        <v>1.25</v>
      </c>
      <c r="O32" s="150">
        <v>1.067</v>
      </c>
      <c r="P32" s="154">
        <v>55.0</v>
      </c>
      <c r="Q32" s="154">
        <v>20.0</v>
      </c>
      <c r="R32" s="150">
        <v>3.8</v>
      </c>
      <c r="S32" s="141" t="s">
        <v>12</v>
      </c>
      <c r="T32" s="137">
        <f t="shared" si="30"/>
        <v>624.3128</v>
      </c>
      <c r="U32" s="137">
        <f t="shared" si="41"/>
        <v>513.0986645</v>
      </c>
      <c r="V32" s="137">
        <f t="shared" si="32"/>
        <v>494.5051881</v>
      </c>
      <c r="W32" s="141">
        <f t="shared" si="5"/>
        <v>309.4525583</v>
      </c>
      <c r="X32" s="137">
        <f t="shared" si="6"/>
        <v>441.2052277</v>
      </c>
      <c r="Y32" s="137">
        <f t="shared" si="42"/>
        <v>803.3488475</v>
      </c>
      <c r="Z32" s="137">
        <f t="shared" si="43"/>
        <v>373.84</v>
      </c>
      <c r="AA32" s="137">
        <f t="shared" si="44"/>
        <v>307.2447093</v>
      </c>
      <c r="AB32" s="155">
        <f t="shared" si="45"/>
        <v>296.1108911</v>
      </c>
      <c r="AC32" s="137" t="s">
        <v>2012</v>
      </c>
      <c r="AD32" s="155" t="s">
        <v>2012</v>
      </c>
      <c r="AE32" s="141" t="s">
        <v>12</v>
      </c>
      <c r="AF32" s="137" t="s">
        <v>12</v>
      </c>
      <c r="AG32" s="139">
        <v>14.93</v>
      </c>
      <c r="AH32" s="128" t="s">
        <v>2131</v>
      </c>
      <c r="AI32" s="128" t="s">
        <v>120</v>
      </c>
    </row>
    <row r="33" ht="37.5" customHeight="1">
      <c r="A33" s="136"/>
      <c r="B33" s="13"/>
      <c r="C33" s="14" t="s">
        <v>35</v>
      </c>
      <c r="D33" s="14" t="s">
        <v>1998</v>
      </c>
      <c r="E33" s="14" t="s">
        <v>26</v>
      </c>
      <c r="F33" s="141">
        <v>2663.0</v>
      </c>
      <c r="G33" s="150">
        <v>51.9</v>
      </c>
      <c r="H33" s="151">
        <v>1.67</v>
      </c>
      <c r="I33" s="151">
        <v>1.49</v>
      </c>
      <c r="J33" s="150">
        <v>1.598</v>
      </c>
      <c r="K33" s="137" t="s">
        <v>12</v>
      </c>
      <c r="L33" s="152">
        <f t="shared" si="39"/>
        <v>0.1333157895</v>
      </c>
      <c r="M33" s="153">
        <f t="shared" si="40"/>
        <v>450.0592183</v>
      </c>
      <c r="N33" s="150">
        <v>0.983</v>
      </c>
      <c r="O33" s="150">
        <v>0.733</v>
      </c>
      <c r="P33" s="154">
        <v>72.0</v>
      </c>
      <c r="Q33" s="154">
        <v>20.0</v>
      </c>
      <c r="R33" s="150">
        <v>2.533</v>
      </c>
      <c r="S33" s="141" t="s">
        <v>12</v>
      </c>
      <c r="T33" s="137">
        <f t="shared" si="30"/>
        <v>650.1330438</v>
      </c>
      <c r="U33" s="137">
        <f t="shared" si="41"/>
        <v>530.7593386</v>
      </c>
      <c r="V33" s="137">
        <f t="shared" si="32"/>
        <v>493.0204778</v>
      </c>
      <c r="W33" s="141">
        <f t="shared" si="5"/>
        <v>308.523453</v>
      </c>
      <c r="X33" s="137">
        <f t="shared" si="6"/>
        <v>439.8805461</v>
      </c>
      <c r="Y33" s="137">
        <f t="shared" si="42"/>
        <v>800.9368601</v>
      </c>
      <c r="Z33" s="137">
        <f t="shared" si="43"/>
        <v>389.3012238</v>
      </c>
      <c r="AA33" s="137">
        <f t="shared" si="44"/>
        <v>317.8199633</v>
      </c>
      <c r="AB33" s="155">
        <f t="shared" si="45"/>
        <v>295.221843</v>
      </c>
      <c r="AC33" s="137" t="s">
        <v>2012</v>
      </c>
      <c r="AD33" s="155" t="s">
        <v>2012</v>
      </c>
      <c r="AE33" s="141" t="s">
        <v>12</v>
      </c>
      <c r="AF33" s="137" t="s">
        <v>12</v>
      </c>
      <c r="AG33" s="139">
        <v>14.16</v>
      </c>
      <c r="AH33" s="128" t="s">
        <v>2131</v>
      </c>
      <c r="AI33" s="128" t="s">
        <v>120</v>
      </c>
    </row>
    <row r="34" ht="37.5" customHeight="1">
      <c r="A34" s="136"/>
      <c r="B34" s="128"/>
      <c r="C34" s="14" t="s">
        <v>35</v>
      </c>
      <c r="D34" s="14" t="s">
        <v>30</v>
      </c>
      <c r="E34" s="14" t="s">
        <v>26</v>
      </c>
      <c r="F34" s="141">
        <v>3514.0</v>
      </c>
      <c r="G34" s="150">
        <f>128.722/2</f>
        <v>64.361</v>
      </c>
      <c r="H34" s="151">
        <v>1.67</v>
      </c>
      <c r="I34" s="151">
        <v>1.49</v>
      </c>
      <c r="J34" s="150">
        <v>1.598</v>
      </c>
      <c r="K34" s="137" t="s">
        <v>12</v>
      </c>
      <c r="L34" s="152">
        <f t="shared" si="39"/>
        <v>0.1810344828</v>
      </c>
      <c r="M34" s="153">
        <f t="shared" si="40"/>
        <v>331.4285714</v>
      </c>
      <c r="N34" s="150">
        <v>1.333</v>
      </c>
      <c r="O34" s="150">
        <v>0.933</v>
      </c>
      <c r="P34" s="154">
        <v>49.0</v>
      </c>
      <c r="Q34" s="154">
        <v>30.0</v>
      </c>
      <c r="R34" s="150">
        <v>5.25</v>
      </c>
      <c r="S34" s="141" t="s">
        <v>12</v>
      </c>
      <c r="T34" s="137">
        <f t="shared" si="30"/>
        <v>593.714901</v>
      </c>
      <c r="U34" s="137">
        <f t="shared" si="41"/>
        <v>521.5083455</v>
      </c>
      <c r="V34" s="137">
        <f t="shared" si="32"/>
        <v>489.820158</v>
      </c>
      <c r="W34" s="141">
        <f t="shared" si="5"/>
        <v>306.5207497</v>
      </c>
      <c r="X34" s="137">
        <f t="shared" si="6"/>
        <v>437.0251709</v>
      </c>
      <c r="Y34" s="137">
        <f t="shared" si="42"/>
        <v>795.7377776</v>
      </c>
      <c r="Z34" s="137">
        <f t="shared" si="43"/>
        <v>355.5179048</v>
      </c>
      <c r="AA34" s="137">
        <f t="shared" si="44"/>
        <v>312.2804464</v>
      </c>
      <c r="AB34" s="155">
        <f t="shared" si="45"/>
        <v>293.3054838</v>
      </c>
      <c r="AC34" s="137" t="s">
        <v>2012</v>
      </c>
      <c r="AD34" s="155" t="s">
        <v>2012</v>
      </c>
      <c r="AE34" s="141" t="s">
        <v>12</v>
      </c>
      <c r="AF34" s="137" t="s">
        <v>12</v>
      </c>
      <c r="AG34" s="139">
        <v>15.5</v>
      </c>
      <c r="AH34" s="128" t="s">
        <v>2131</v>
      </c>
      <c r="AI34" s="128" t="s">
        <v>120</v>
      </c>
    </row>
    <row r="35" ht="37.5" customHeight="1">
      <c r="A35" s="136"/>
      <c r="B35" s="13"/>
      <c r="C35" s="14" t="s">
        <v>2013</v>
      </c>
      <c r="D35" s="14" t="s">
        <v>17</v>
      </c>
      <c r="E35" s="14" t="s">
        <v>26</v>
      </c>
      <c r="F35" s="141">
        <v>4157.0</v>
      </c>
      <c r="G35" s="150">
        <v>80.998</v>
      </c>
      <c r="H35" s="151">
        <v>2.47</v>
      </c>
      <c r="I35" s="151">
        <v>2.42</v>
      </c>
      <c r="J35" s="150">
        <f>2382/1528</f>
        <v>1.558900524</v>
      </c>
      <c r="K35" s="137" t="s">
        <v>12</v>
      </c>
      <c r="L35" s="152">
        <f t="shared" si="39"/>
        <v>0.3479375</v>
      </c>
      <c r="M35" s="153">
        <f t="shared" si="40"/>
        <v>172.4447638</v>
      </c>
      <c r="N35" s="150">
        <v>1.75</v>
      </c>
      <c r="O35" s="150">
        <v>1.483</v>
      </c>
      <c r="P35" s="154">
        <v>82.0</v>
      </c>
      <c r="Q35" s="154">
        <v>17.0</v>
      </c>
      <c r="R35" s="150">
        <v>5.567</v>
      </c>
      <c r="S35" s="141" t="s">
        <v>12</v>
      </c>
      <c r="T35" s="137">
        <f t="shared" si="30"/>
        <v>575.0028669</v>
      </c>
      <c r="U35" s="137">
        <f t="shared" si="41"/>
        <v>482.4263858</v>
      </c>
      <c r="V35" s="137">
        <f t="shared" si="32"/>
        <v>464.822471</v>
      </c>
      <c r="W35" s="141">
        <f t="shared" si="5"/>
        <v>298.1732727</v>
      </c>
      <c r="X35" s="137">
        <f t="shared" si="6"/>
        <v>455.4131092</v>
      </c>
      <c r="Y35" s="137">
        <f t="shared" si="42"/>
        <v>783.6116474</v>
      </c>
      <c r="Z35" s="137">
        <f t="shared" si="43"/>
        <v>232.794683</v>
      </c>
      <c r="AA35" s="137">
        <f t="shared" si="44"/>
        <v>195.3143262</v>
      </c>
      <c r="AB35" s="155">
        <f t="shared" si="45"/>
        <v>188.1872352</v>
      </c>
      <c r="AC35" s="137" t="s">
        <v>2012</v>
      </c>
      <c r="AD35" s="155" t="s">
        <v>2012</v>
      </c>
      <c r="AE35" s="141" t="s">
        <v>12</v>
      </c>
      <c r="AF35" s="137" t="s">
        <v>12</v>
      </c>
      <c r="AG35" s="139">
        <v>29.26</v>
      </c>
      <c r="AH35" s="128" t="s">
        <v>2132</v>
      </c>
      <c r="AI35" s="128" t="s">
        <v>120</v>
      </c>
    </row>
    <row r="36" ht="37.5" customHeight="1">
      <c r="A36" s="136"/>
      <c r="B36" s="13"/>
      <c r="C36" s="14" t="s">
        <v>35</v>
      </c>
      <c r="D36" s="14" t="s">
        <v>24</v>
      </c>
      <c r="E36" s="14" t="s">
        <v>26</v>
      </c>
      <c r="F36" s="141">
        <v>3301.0</v>
      </c>
      <c r="G36" s="150">
        <v>64.361</v>
      </c>
      <c r="H36" s="151">
        <v>1.67</v>
      </c>
      <c r="I36" s="151">
        <v>1.49</v>
      </c>
      <c r="J36" s="150">
        <v>1.597</v>
      </c>
      <c r="K36" s="137" t="s">
        <v>12</v>
      </c>
      <c r="L36" s="152">
        <f t="shared" si="39"/>
        <v>0.1666875</v>
      </c>
      <c r="M36" s="153">
        <f t="shared" si="40"/>
        <v>359.9550056</v>
      </c>
      <c r="N36" s="150">
        <v>1.167</v>
      </c>
      <c r="O36" s="150">
        <v>1.0</v>
      </c>
      <c r="P36" s="154">
        <v>76.0</v>
      </c>
      <c r="Q36" s="154">
        <v>17.0</v>
      </c>
      <c r="R36" s="152">
        <v>2.667</v>
      </c>
      <c r="S36" s="141" t="s">
        <v>12</v>
      </c>
      <c r="T36" s="137">
        <f t="shared" si="30"/>
        <v>644.8166179</v>
      </c>
      <c r="U36" s="137">
        <f t="shared" si="41"/>
        <v>498.2843714</v>
      </c>
      <c r="V36" s="137">
        <f t="shared" si="32"/>
        <v>476.5802791</v>
      </c>
      <c r="W36" s="141">
        <f t="shared" si="5"/>
        <v>298.4222161</v>
      </c>
      <c r="X36" s="137">
        <f t="shared" si="6"/>
        <v>425.2123448</v>
      </c>
      <c r="Y36" s="137">
        <f t="shared" si="42"/>
        <v>774.2289204</v>
      </c>
      <c r="Z36" s="137">
        <f t="shared" si="43"/>
        <v>386.1177353</v>
      </c>
      <c r="AA36" s="137">
        <f t="shared" si="44"/>
        <v>298.3738751</v>
      </c>
      <c r="AB36" s="155">
        <f t="shared" si="45"/>
        <v>285.3774126</v>
      </c>
      <c r="AC36" s="137" t="s">
        <v>2012</v>
      </c>
      <c r="AD36" s="155" t="s">
        <v>2012</v>
      </c>
      <c r="AE36" s="141" t="s">
        <v>12</v>
      </c>
      <c r="AF36" s="137" t="s">
        <v>12</v>
      </c>
      <c r="AG36" s="139">
        <v>14.5</v>
      </c>
      <c r="AH36" s="128" t="s">
        <v>2131</v>
      </c>
      <c r="AI36" s="128" t="s">
        <v>120</v>
      </c>
    </row>
    <row r="37" ht="37.5" customHeight="1">
      <c r="A37" s="156"/>
      <c r="B37" s="13"/>
      <c r="C37" s="157" t="s">
        <v>36</v>
      </c>
      <c r="D37" s="157" t="s">
        <v>32</v>
      </c>
      <c r="E37" s="157" t="s">
        <v>26</v>
      </c>
      <c r="F37" s="158"/>
      <c r="G37" s="159">
        <v>35.604</v>
      </c>
      <c r="H37" s="160">
        <f>207/131</f>
        <v>1.580152672</v>
      </c>
      <c r="I37" s="160">
        <f>192/131</f>
        <v>1.465648855</v>
      </c>
      <c r="J37" s="159">
        <f>564/322
</f>
        <v>1.751552795</v>
      </c>
      <c r="K37" s="158" t="s">
        <v>12</v>
      </c>
      <c r="L37" s="161">
        <f t="shared" si="39"/>
        <v>0.09920634921</v>
      </c>
      <c r="M37" s="162">
        <f t="shared" si="40"/>
        <v>604.8</v>
      </c>
      <c r="N37" s="159">
        <v>1.617</v>
      </c>
      <c r="O37" s="159">
        <v>1.15</v>
      </c>
      <c r="P37" s="163">
        <v>25.0</v>
      </c>
      <c r="Q37" s="163">
        <v>64.0</v>
      </c>
      <c r="R37" s="159">
        <v>6.25</v>
      </c>
      <c r="S37" s="160" t="s">
        <v>12</v>
      </c>
      <c r="T37" s="137">
        <f t="shared" si="30"/>
        <v>567.0983377</v>
      </c>
      <c r="U37" s="137">
        <f t="shared" si="41"/>
        <v>486.5708603</v>
      </c>
      <c r="V37" s="137">
        <f t="shared" si="32"/>
        <v>457.6870937</v>
      </c>
      <c r="W37" s="141">
        <f t="shared" si="5"/>
        <v>261.3036244</v>
      </c>
      <c r="X37" s="137">
        <f t="shared" si="6"/>
        <v>424.5213623</v>
      </c>
      <c r="Y37" s="137">
        <f t="shared" si="42"/>
        <v>754.8520473</v>
      </c>
      <c r="Z37" s="137">
        <f t="shared" si="43"/>
        <v>358.88832</v>
      </c>
      <c r="AA37" s="137">
        <f t="shared" si="44"/>
        <v>307.9264865</v>
      </c>
      <c r="AB37" s="155">
        <f t="shared" si="45"/>
        <v>289.6473878</v>
      </c>
      <c r="AC37" s="137" t="s">
        <v>2012</v>
      </c>
      <c r="AD37" s="155" t="s">
        <v>2012</v>
      </c>
      <c r="AE37" s="141" t="s">
        <v>12</v>
      </c>
      <c r="AF37" s="137" t="s">
        <v>12</v>
      </c>
      <c r="AG37" s="160" t="s">
        <v>23</v>
      </c>
      <c r="AH37" s="157" t="s">
        <v>2133</v>
      </c>
      <c r="AI37" s="157" t="s">
        <v>120</v>
      </c>
    </row>
    <row r="38" ht="37.5" customHeight="1">
      <c r="A38" s="156"/>
      <c r="B38" s="13"/>
      <c r="C38" s="157" t="s">
        <v>35</v>
      </c>
      <c r="D38" s="157" t="s">
        <v>2134</v>
      </c>
      <c r="E38" s="157" t="s">
        <v>26</v>
      </c>
      <c r="F38" s="158"/>
      <c r="G38" s="159">
        <v>85.158</v>
      </c>
      <c r="H38" s="160">
        <f>374/257</f>
        <v>1.455252918</v>
      </c>
      <c r="I38" s="160">
        <f>383/257</f>
        <v>1.490272374</v>
      </c>
      <c r="J38" s="159">
        <f>1349/844
</f>
        <v>1.598341232</v>
      </c>
      <c r="K38" s="158" t="s">
        <v>12</v>
      </c>
      <c r="L38" s="161">
        <f t="shared" si="39"/>
        <v>0.1666923077</v>
      </c>
      <c r="M38" s="162">
        <f t="shared" si="40"/>
        <v>359.9446239</v>
      </c>
      <c r="N38" s="159">
        <v>1.85</v>
      </c>
      <c r="O38" s="159">
        <v>1.517</v>
      </c>
      <c r="P38" s="163">
        <v>51.0</v>
      </c>
      <c r="Q38" s="163">
        <v>14.0</v>
      </c>
      <c r="R38" s="159">
        <v>2.167</v>
      </c>
      <c r="S38" s="160" t="s">
        <v>12</v>
      </c>
      <c r="T38" s="137">
        <f t="shared" si="30"/>
        <v>743.4441921</v>
      </c>
      <c r="U38" s="137">
        <f t="shared" si="41"/>
        <v>470.9473377</v>
      </c>
      <c r="V38" s="137">
        <f t="shared" si="32"/>
        <v>431.9068938</v>
      </c>
      <c r="W38" s="141">
        <f t="shared" si="5"/>
        <v>270.2219558</v>
      </c>
      <c r="X38" s="137">
        <f t="shared" si="6"/>
        <v>442.3003752</v>
      </c>
      <c r="Y38" s="137">
        <f t="shared" si="42"/>
        <v>741.5171564</v>
      </c>
      <c r="Z38" s="137">
        <f t="shared" si="43"/>
        <v>510.8694047</v>
      </c>
      <c r="AA38" s="137">
        <f t="shared" si="44"/>
        <v>323.6188925</v>
      </c>
      <c r="AB38" s="155">
        <f t="shared" si="45"/>
        <v>296.7916355</v>
      </c>
      <c r="AC38" s="137" t="s">
        <v>2012</v>
      </c>
      <c r="AD38" s="155" t="s">
        <v>2012</v>
      </c>
      <c r="AE38" s="141" t="s">
        <v>12</v>
      </c>
      <c r="AF38" s="137" t="s">
        <v>12</v>
      </c>
      <c r="AG38" s="160" t="s">
        <v>23</v>
      </c>
      <c r="AH38" s="157" t="s">
        <v>2135</v>
      </c>
      <c r="AI38" s="157" t="s">
        <v>120</v>
      </c>
    </row>
    <row r="39" ht="37.5" customHeight="1">
      <c r="A39" s="136"/>
      <c r="B39" s="13"/>
      <c r="C39" s="14" t="s">
        <v>36</v>
      </c>
      <c r="D39" s="14" t="s">
        <v>24</v>
      </c>
      <c r="E39" s="14" t="s">
        <v>26</v>
      </c>
      <c r="F39" s="141">
        <v>1390.0</v>
      </c>
      <c r="G39" s="150">
        <v>27.11</v>
      </c>
      <c r="H39" s="151">
        <v>1.43</v>
      </c>
      <c r="I39" s="151">
        <v>1.33</v>
      </c>
      <c r="J39" s="150">
        <v>1.894</v>
      </c>
      <c r="K39" s="137" t="s">
        <v>12</v>
      </c>
      <c r="L39" s="152">
        <f t="shared" si="39"/>
        <v>0.06704545455</v>
      </c>
      <c r="M39" s="153">
        <f t="shared" si="40"/>
        <v>894.9152542</v>
      </c>
      <c r="N39" s="150">
        <v>1.45</v>
      </c>
      <c r="O39" s="150">
        <v>1.05</v>
      </c>
      <c r="P39" s="154">
        <v>53.0</v>
      </c>
      <c r="Q39" s="154">
        <v>45.0</v>
      </c>
      <c r="R39" s="150">
        <v>2.95</v>
      </c>
      <c r="S39" s="141" t="s">
        <v>12</v>
      </c>
      <c r="T39" s="137">
        <f t="shared" si="30"/>
        <v>578.2241356</v>
      </c>
      <c r="U39" s="137">
        <f t="shared" si="41"/>
        <v>436.132125</v>
      </c>
      <c r="V39" s="137">
        <f t="shared" si="32"/>
        <v>396.48375</v>
      </c>
      <c r="W39" s="141">
        <f t="shared" si="5"/>
        <v>209.3367212</v>
      </c>
      <c r="X39" s="137">
        <f t="shared" si="6"/>
        <v>368.7576136</v>
      </c>
      <c r="Y39" s="137">
        <f t="shared" si="42"/>
        <v>654.6140795</v>
      </c>
      <c r="Z39" s="137">
        <f t="shared" si="43"/>
        <v>404.3525424</v>
      </c>
      <c r="AA39" s="137">
        <f t="shared" si="44"/>
        <v>304.9875</v>
      </c>
      <c r="AB39" s="155">
        <f t="shared" si="45"/>
        <v>277.2613636</v>
      </c>
      <c r="AC39" s="137" t="s">
        <v>2012</v>
      </c>
      <c r="AD39" s="155" t="s">
        <v>2012</v>
      </c>
      <c r="AE39" s="141" t="s">
        <v>12</v>
      </c>
      <c r="AF39" s="137" t="s">
        <v>12</v>
      </c>
      <c r="AG39" s="139">
        <v>18.06</v>
      </c>
      <c r="AH39" s="128" t="s">
        <v>2136</v>
      </c>
      <c r="AI39" s="128" t="s">
        <v>120</v>
      </c>
    </row>
    <row r="40" ht="37.5" customHeight="1">
      <c r="A40" s="156"/>
      <c r="B40" s="13"/>
      <c r="C40" s="157" t="s">
        <v>36</v>
      </c>
      <c r="D40" s="157" t="s">
        <v>2137</v>
      </c>
      <c r="E40" s="157" t="s">
        <v>26</v>
      </c>
      <c r="F40" s="158"/>
      <c r="G40" s="159">
        <v>31.185</v>
      </c>
      <c r="H40" s="160">
        <f>118/94</f>
        <v>1.255319149</v>
      </c>
      <c r="I40" s="160">
        <f>125/94</f>
        <v>1.329787234</v>
      </c>
      <c r="J40" s="159">
        <f>494/261
</f>
        <v>1.892720307</v>
      </c>
      <c r="K40" s="158" t="s">
        <v>12</v>
      </c>
      <c r="L40" s="161">
        <f t="shared" si="39"/>
        <v>0.06696363636</v>
      </c>
      <c r="M40" s="162">
        <f t="shared" si="40"/>
        <v>896.0086886</v>
      </c>
      <c r="N40" s="159">
        <v>2.217</v>
      </c>
      <c r="O40" s="159">
        <v>1.333</v>
      </c>
      <c r="P40" s="163">
        <v>56.0</v>
      </c>
      <c r="Q40" s="163">
        <v>56.0</v>
      </c>
      <c r="R40" s="159">
        <v>3.683</v>
      </c>
      <c r="S40" s="160" t="s">
        <v>12</v>
      </c>
      <c r="T40" s="137">
        <f t="shared" si="30"/>
        <v>584.6027753</v>
      </c>
      <c r="U40" s="137">
        <f t="shared" si="41"/>
        <v>437.0492721</v>
      </c>
      <c r="V40" s="137">
        <f t="shared" si="32"/>
        <v>371.5659574</v>
      </c>
      <c r="W40" s="141">
        <f t="shared" si="5"/>
        <v>196.313188</v>
      </c>
      <c r="X40" s="137">
        <f t="shared" si="6"/>
        <v>393.6080058</v>
      </c>
      <c r="Y40" s="137">
        <f t="shared" si="42"/>
        <v>647.0915615</v>
      </c>
      <c r="Z40" s="137">
        <f t="shared" si="43"/>
        <v>465.7005159</v>
      </c>
      <c r="AA40" s="137">
        <f t="shared" si="44"/>
        <v>348.1578947</v>
      </c>
      <c r="AB40" s="155">
        <f t="shared" si="45"/>
        <v>295.9932203</v>
      </c>
      <c r="AC40" s="137" t="s">
        <v>2012</v>
      </c>
      <c r="AD40" s="155" t="s">
        <v>2012</v>
      </c>
      <c r="AE40" s="141" t="s">
        <v>12</v>
      </c>
      <c r="AF40" s="137" t="s">
        <v>12</v>
      </c>
      <c r="AG40" s="160" t="s">
        <v>23</v>
      </c>
      <c r="AH40" s="157" t="s">
        <v>2138</v>
      </c>
      <c r="AI40" s="157" t="s">
        <v>120</v>
      </c>
    </row>
    <row r="41" ht="37.5" customHeight="1">
      <c r="A41" s="136"/>
      <c r="B41" s="13"/>
      <c r="C41" s="14" t="s">
        <v>36</v>
      </c>
      <c r="D41" s="14" t="s">
        <v>13</v>
      </c>
      <c r="E41" s="14" t="s">
        <v>26</v>
      </c>
      <c r="F41" s="141">
        <v>1320.0</v>
      </c>
      <c r="G41" s="150">
        <v>25.784</v>
      </c>
      <c r="H41" s="151">
        <v>1.43</v>
      </c>
      <c r="I41" s="151">
        <v>1.33</v>
      </c>
      <c r="J41" s="150">
        <v>1.655</v>
      </c>
      <c r="K41" s="137" t="s">
        <v>12</v>
      </c>
      <c r="L41" s="152">
        <f t="shared" si="39"/>
        <v>0.06665853659</v>
      </c>
      <c r="M41" s="153">
        <f t="shared" si="40"/>
        <v>900.1097695</v>
      </c>
      <c r="N41" s="150">
        <v>1.283</v>
      </c>
      <c r="O41" s="150">
        <v>1.017</v>
      </c>
      <c r="P41" s="154">
        <v>79.0</v>
      </c>
      <c r="Q41" s="154">
        <v>42.0</v>
      </c>
      <c r="R41" s="150">
        <v>2.733</v>
      </c>
      <c r="S41" s="141" t="s">
        <v>12</v>
      </c>
      <c r="T41" s="137">
        <f t="shared" si="30"/>
        <v>553.1342554</v>
      </c>
      <c r="U41" s="137">
        <f t="shared" si="41"/>
        <v>412.956544</v>
      </c>
      <c r="V41" s="137">
        <f t="shared" si="32"/>
        <v>385.6043426</v>
      </c>
      <c r="W41" s="141">
        <f t="shared" si="5"/>
        <v>232.9935605</v>
      </c>
      <c r="X41" s="137">
        <f t="shared" si="6"/>
        <v>358.639004</v>
      </c>
      <c r="Y41" s="137">
        <f t="shared" si="42"/>
        <v>636.6516454</v>
      </c>
      <c r="Z41" s="137">
        <f t="shared" si="43"/>
        <v>386.8071716</v>
      </c>
      <c r="AA41" s="137">
        <f t="shared" si="44"/>
        <v>288.7808</v>
      </c>
      <c r="AB41" s="155">
        <f t="shared" si="45"/>
        <v>269.6533865</v>
      </c>
      <c r="AC41" s="137" t="s">
        <v>2012</v>
      </c>
      <c r="AD41" s="155" t="s">
        <v>2012</v>
      </c>
      <c r="AE41" s="141" t="s">
        <v>12</v>
      </c>
      <c r="AF41" s="137" t="s">
        <v>12</v>
      </c>
      <c r="AG41" s="139">
        <v>18.33</v>
      </c>
      <c r="AH41" s="128" t="s">
        <v>2139</v>
      </c>
      <c r="AI41" s="128" t="s">
        <v>120</v>
      </c>
    </row>
    <row r="42" ht="37.5" customHeight="1">
      <c r="A42" s="136"/>
      <c r="B42" s="13"/>
      <c r="C42" s="14" t="s">
        <v>2024</v>
      </c>
      <c r="D42" s="14" t="s">
        <v>2140</v>
      </c>
      <c r="E42" s="14" t="s">
        <v>37</v>
      </c>
      <c r="F42" s="138">
        <v>38486.0</v>
      </c>
      <c r="G42" s="152">
        <v>779.029</v>
      </c>
      <c r="H42" s="139">
        <v>1.39</v>
      </c>
      <c r="I42" s="139">
        <v>1.3</v>
      </c>
      <c r="J42" s="152" t="s">
        <v>12</v>
      </c>
      <c r="K42" s="138">
        <v>22.0</v>
      </c>
      <c r="L42" s="152">
        <f t="shared" si="39"/>
        <v>1.114285714</v>
      </c>
      <c r="M42" s="153">
        <f t="shared" si="40"/>
        <v>53.84615385</v>
      </c>
      <c r="N42" s="152">
        <v>2.567</v>
      </c>
      <c r="O42" s="152">
        <v>1.9</v>
      </c>
      <c r="P42" s="138">
        <v>34.0</v>
      </c>
      <c r="Q42" s="138">
        <v>8.0</v>
      </c>
      <c r="R42" s="152">
        <v>7.8</v>
      </c>
      <c r="S42" s="141">
        <v>9.0</v>
      </c>
      <c r="T42" s="137">
        <f t="shared" si="30"/>
        <v>971.7887397</v>
      </c>
      <c r="U42" s="137">
        <f t="shared" si="41"/>
        <v>893.0724206</v>
      </c>
      <c r="V42" s="137">
        <f t="shared" si="32"/>
        <v>835.613242</v>
      </c>
      <c r="W42" s="141">
        <f t="shared" si="5"/>
        <v>835.613242</v>
      </c>
      <c r="X42" s="137">
        <f t="shared" si="6"/>
        <v>781.5087875</v>
      </c>
      <c r="Y42" s="141" t="s">
        <v>12</v>
      </c>
      <c r="Z42" s="137">
        <f t="shared" si="43"/>
        <v>699.1285897</v>
      </c>
      <c r="AA42" s="137">
        <f t="shared" si="44"/>
        <v>642.4981443</v>
      </c>
      <c r="AB42" s="155">
        <f t="shared" si="45"/>
        <v>601.1606058</v>
      </c>
      <c r="AC42" s="137">
        <f t="shared" ref="AC42:AC46" si="48">AD42*H42</f>
        <v>23822.70682</v>
      </c>
      <c r="AD42" s="155">
        <f t="shared" ref="AD42:AD52" si="49">K42*G42</f>
        <v>17138.638</v>
      </c>
      <c r="AE42" s="137">
        <f t="shared" ref="AE42:AE56" si="50">AF42*H42</f>
        <v>9745.65279</v>
      </c>
      <c r="AF42" s="137">
        <f t="shared" ref="AF42:AF52" si="51">S42*G42</f>
        <v>7011.261</v>
      </c>
      <c r="AG42" s="139">
        <v>16.0</v>
      </c>
      <c r="AH42" s="128" t="s">
        <v>2141</v>
      </c>
      <c r="AI42" s="128" t="s">
        <v>136</v>
      </c>
    </row>
    <row r="43" ht="37.5" customHeight="1">
      <c r="A43" s="136"/>
      <c r="B43" s="13"/>
      <c r="C43" s="14" t="s">
        <v>2039</v>
      </c>
      <c r="D43" s="14" t="s">
        <v>1998</v>
      </c>
      <c r="E43" s="14" t="s">
        <v>37</v>
      </c>
      <c r="F43" s="138">
        <v>18754.0</v>
      </c>
      <c r="G43" s="152">
        <v>361.841</v>
      </c>
      <c r="H43" s="139">
        <v>1.5</v>
      </c>
      <c r="I43" s="139">
        <v>1.0</v>
      </c>
      <c r="J43" s="152" t="s">
        <v>12</v>
      </c>
      <c r="K43" s="138">
        <v>33.0</v>
      </c>
      <c r="L43" s="152">
        <f t="shared" si="39"/>
        <v>0.7142857143</v>
      </c>
      <c r="M43" s="153">
        <f t="shared" si="40"/>
        <v>84</v>
      </c>
      <c r="N43" s="152">
        <v>1.483</v>
      </c>
      <c r="O43" s="152">
        <v>1.183</v>
      </c>
      <c r="P43" s="138">
        <v>79.0</v>
      </c>
      <c r="Q43" s="138">
        <v>8.0</v>
      </c>
      <c r="R43" s="152">
        <v>5.0</v>
      </c>
      <c r="S43" s="141">
        <v>13.0</v>
      </c>
      <c r="T43" s="137">
        <f t="shared" si="30"/>
        <v>759.8661</v>
      </c>
      <c r="U43" s="137">
        <f t="shared" si="41"/>
        <v>702.2629791</v>
      </c>
      <c r="V43" s="137">
        <f t="shared" si="32"/>
        <v>669.7658491</v>
      </c>
      <c r="W43" s="141">
        <f t="shared" si="5"/>
        <v>669.7658491</v>
      </c>
      <c r="X43" s="137">
        <f t="shared" si="6"/>
        <v>446.5105661</v>
      </c>
      <c r="Y43" s="141" t="s">
        <v>12</v>
      </c>
      <c r="Z43" s="137">
        <f t="shared" si="43"/>
        <v>506.5774</v>
      </c>
      <c r="AA43" s="137">
        <f t="shared" si="44"/>
        <v>468.1753194</v>
      </c>
      <c r="AB43" s="155">
        <f t="shared" si="45"/>
        <v>446.5105661</v>
      </c>
      <c r="AC43" s="137">
        <f t="shared" si="48"/>
        <v>17911.1295</v>
      </c>
      <c r="AD43" s="155">
        <f t="shared" si="49"/>
        <v>11940.753</v>
      </c>
      <c r="AE43" s="137">
        <f t="shared" si="50"/>
        <v>7055.8995</v>
      </c>
      <c r="AF43" s="137">
        <f t="shared" si="51"/>
        <v>4703.933</v>
      </c>
      <c r="AG43" s="139">
        <v>17.84</v>
      </c>
      <c r="AH43" s="128" t="s">
        <v>2142</v>
      </c>
      <c r="AI43" s="128" t="s">
        <v>136</v>
      </c>
    </row>
    <row r="44" ht="37.5" customHeight="1">
      <c r="A44" s="136"/>
      <c r="B44" s="13"/>
      <c r="C44" s="128" t="s">
        <v>2143</v>
      </c>
      <c r="D44" s="14" t="s">
        <v>2144</v>
      </c>
      <c r="E44" s="14" t="s">
        <v>9</v>
      </c>
      <c r="F44" s="154">
        <v>38228.0</v>
      </c>
      <c r="G44" s="150">
        <v>745.212</v>
      </c>
      <c r="H44" s="139">
        <v>1.62</v>
      </c>
      <c r="I44" s="139">
        <v>1.16</v>
      </c>
      <c r="J44" s="152" t="s">
        <v>12</v>
      </c>
      <c r="K44" s="138">
        <v>26.0</v>
      </c>
      <c r="L44" s="152">
        <f t="shared" si="39"/>
        <v>0.5066666667</v>
      </c>
      <c r="M44" s="153">
        <f t="shared" si="40"/>
        <v>118.4210526</v>
      </c>
      <c r="N44" s="150">
        <v>2.567</v>
      </c>
      <c r="O44" s="150">
        <v>2.083</v>
      </c>
      <c r="P44" s="154">
        <v>52.0</v>
      </c>
      <c r="Q44" s="154">
        <v>7.0</v>
      </c>
      <c r="R44" s="150">
        <v>3.04</v>
      </c>
      <c r="S44" s="141">
        <v>5.0</v>
      </c>
      <c r="T44" s="137">
        <f t="shared" si="30"/>
        <v>2382.717316</v>
      </c>
      <c r="U44" s="137">
        <f t="shared" si="41"/>
        <v>1649.561601</v>
      </c>
      <c r="V44" s="137">
        <f t="shared" si="32"/>
        <v>1507.170337</v>
      </c>
      <c r="W44" s="141">
        <f t="shared" si="5"/>
        <v>1507.170337</v>
      </c>
      <c r="X44" s="137">
        <f t="shared" si="6"/>
        <v>1079.20839</v>
      </c>
      <c r="Y44" s="141" t="s">
        <v>12</v>
      </c>
      <c r="Z44" s="137">
        <f t="shared" si="43"/>
        <v>1470.813158</v>
      </c>
      <c r="AA44" s="137">
        <f t="shared" si="44"/>
        <v>1018.247902</v>
      </c>
      <c r="AB44" s="155">
        <f t="shared" si="45"/>
        <v>930.3520599</v>
      </c>
      <c r="AC44" s="137">
        <f t="shared" si="48"/>
        <v>31388.32944</v>
      </c>
      <c r="AD44" s="155">
        <f t="shared" si="49"/>
        <v>19375.512</v>
      </c>
      <c r="AE44" s="137">
        <f t="shared" si="50"/>
        <v>6036.2172</v>
      </c>
      <c r="AF44" s="137">
        <f t="shared" si="51"/>
        <v>3726.06</v>
      </c>
      <c r="AG44" s="139" t="s">
        <v>12</v>
      </c>
      <c r="AH44" s="128" t="s">
        <v>2145</v>
      </c>
      <c r="AI44" s="128" t="s">
        <v>136</v>
      </c>
    </row>
    <row r="45" ht="37.5" customHeight="1">
      <c r="A45" s="136"/>
      <c r="B45" s="13"/>
      <c r="C45" s="128" t="s">
        <v>2143</v>
      </c>
      <c r="D45" s="14" t="s">
        <v>11</v>
      </c>
      <c r="E45" s="14" t="s">
        <v>9</v>
      </c>
      <c r="F45" s="154">
        <v>37426.0</v>
      </c>
      <c r="G45" s="150">
        <v>729.551</v>
      </c>
      <c r="H45" s="139">
        <v>1.62</v>
      </c>
      <c r="I45" s="139">
        <v>1.16</v>
      </c>
      <c r="J45" s="152" t="s">
        <v>12</v>
      </c>
      <c r="K45" s="138">
        <v>26.0</v>
      </c>
      <c r="L45" s="152">
        <f t="shared" si="39"/>
        <v>0.5055</v>
      </c>
      <c r="M45" s="153">
        <f t="shared" si="40"/>
        <v>118.694362</v>
      </c>
      <c r="N45" s="150">
        <v>2.383</v>
      </c>
      <c r="O45" s="150">
        <v>1.983</v>
      </c>
      <c r="P45" s="154">
        <v>62.0</v>
      </c>
      <c r="Q45" s="154">
        <v>7.0</v>
      </c>
      <c r="R45" s="150">
        <v>3.033</v>
      </c>
      <c r="S45" s="141">
        <v>5.0</v>
      </c>
      <c r="T45" s="137">
        <f t="shared" si="30"/>
        <v>2338.026944</v>
      </c>
      <c r="U45" s="137">
        <f t="shared" si="41"/>
        <v>1649.343768</v>
      </c>
      <c r="V45" s="137">
        <f t="shared" si="32"/>
        <v>1527.531082</v>
      </c>
      <c r="W45" s="141">
        <f t="shared" si="5"/>
        <v>1527.531082</v>
      </c>
      <c r="X45" s="137">
        <f t="shared" si="6"/>
        <v>1093.787688</v>
      </c>
      <c r="Y45" s="141" t="s">
        <v>12</v>
      </c>
      <c r="Z45" s="137">
        <f t="shared" si="43"/>
        <v>1443.226508</v>
      </c>
      <c r="AA45" s="137">
        <f t="shared" si="44"/>
        <v>1018.113437</v>
      </c>
      <c r="AB45" s="155">
        <f t="shared" si="45"/>
        <v>942.920421</v>
      </c>
      <c r="AC45" s="137">
        <f t="shared" si="48"/>
        <v>30728.68812</v>
      </c>
      <c r="AD45" s="155">
        <f t="shared" si="49"/>
        <v>18968.326</v>
      </c>
      <c r="AE45" s="137">
        <f t="shared" si="50"/>
        <v>5909.3631</v>
      </c>
      <c r="AF45" s="137">
        <f t="shared" si="51"/>
        <v>3647.755</v>
      </c>
      <c r="AG45" s="139" t="s">
        <v>12</v>
      </c>
      <c r="AH45" s="128" t="s">
        <v>2145</v>
      </c>
      <c r="AI45" s="128" t="s">
        <v>136</v>
      </c>
    </row>
    <row r="46" ht="37.5" customHeight="1">
      <c r="A46" s="136"/>
      <c r="B46" s="128"/>
      <c r="C46" s="128" t="s">
        <v>2143</v>
      </c>
      <c r="D46" s="14" t="s">
        <v>2146</v>
      </c>
      <c r="E46" s="14" t="s">
        <v>9</v>
      </c>
      <c r="F46" s="138">
        <v>32859.0</v>
      </c>
      <c r="G46" s="152">
        <v>640.506</v>
      </c>
      <c r="H46" s="139">
        <v>1.62</v>
      </c>
      <c r="I46" s="139">
        <v>1.16</v>
      </c>
      <c r="J46" s="152" t="s">
        <v>12</v>
      </c>
      <c r="K46" s="154">
        <v>30.0</v>
      </c>
      <c r="L46" s="152">
        <f t="shared" si="39"/>
        <v>0.4028333333</v>
      </c>
      <c r="M46" s="153">
        <f t="shared" si="40"/>
        <v>148.9449731</v>
      </c>
      <c r="N46" s="150">
        <v>2.3</v>
      </c>
      <c r="O46" s="150">
        <v>2.1</v>
      </c>
      <c r="P46" s="154">
        <v>34.0</v>
      </c>
      <c r="Q46" s="154">
        <v>7.0</v>
      </c>
      <c r="R46" s="150">
        <v>2.417</v>
      </c>
      <c r="S46" s="141">
        <v>5.0</v>
      </c>
      <c r="T46" s="137">
        <f t="shared" si="30"/>
        <v>2575.804022</v>
      </c>
      <c r="U46" s="137">
        <f t="shared" si="41"/>
        <v>1608.000452</v>
      </c>
      <c r="V46" s="137">
        <f t="shared" si="32"/>
        <v>1539.821505</v>
      </c>
      <c r="W46" s="141">
        <f t="shared" si="5"/>
        <v>1539.821505</v>
      </c>
      <c r="X46" s="137">
        <f t="shared" si="6"/>
        <v>1102.588238</v>
      </c>
      <c r="Y46" s="141" t="s">
        <v>12</v>
      </c>
      <c r="Z46" s="137">
        <f t="shared" si="43"/>
        <v>1590.002482</v>
      </c>
      <c r="AA46" s="137">
        <f t="shared" si="44"/>
        <v>992.5928714</v>
      </c>
      <c r="AB46" s="155">
        <f t="shared" si="45"/>
        <v>950.507102</v>
      </c>
      <c r="AC46" s="137">
        <f t="shared" si="48"/>
        <v>31128.5916</v>
      </c>
      <c r="AD46" s="155">
        <f t="shared" si="49"/>
        <v>19215.18</v>
      </c>
      <c r="AE46" s="137">
        <f t="shared" si="50"/>
        <v>5188.0986</v>
      </c>
      <c r="AF46" s="137">
        <f t="shared" si="51"/>
        <v>3202.53</v>
      </c>
      <c r="AG46" s="139" t="s">
        <v>12</v>
      </c>
      <c r="AH46" s="128" t="s">
        <v>2145</v>
      </c>
      <c r="AI46" s="128" t="s">
        <v>136</v>
      </c>
    </row>
    <row r="47" ht="37.5" customHeight="1">
      <c r="A47" s="136"/>
      <c r="B47" s="13"/>
      <c r="C47" s="14" t="s">
        <v>1999</v>
      </c>
      <c r="D47" s="14" t="s">
        <v>2147</v>
      </c>
      <c r="E47" s="14" t="s">
        <v>9</v>
      </c>
      <c r="F47" s="138">
        <v>109900.0</v>
      </c>
      <c r="G47" s="152">
        <v>2145.968</v>
      </c>
      <c r="H47" s="139">
        <v>1.28</v>
      </c>
      <c r="I47" s="139">
        <v>1.06</v>
      </c>
      <c r="J47" s="152" t="s">
        <v>12</v>
      </c>
      <c r="K47" s="154">
        <v>11.0</v>
      </c>
      <c r="L47" s="152">
        <v>1.283</v>
      </c>
      <c r="M47" s="153">
        <f t="shared" si="40"/>
        <v>46.76539361</v>
      </c>
      <c r="N47" s="150">
        <v>2.7</v>
      </c>
      <c r="O47" s="150">
        <v>2.2</v>
      </c>
      <c r="P47" s="154">
        <v>48.0</v>
      </c>
      <c r="Q47" s="154">
        <v>1.0</v>
      </c>
      <c r="R47" s="150">
        <v>0.0</v>
      </c>
      <c r="S47" s="141">
        <v>3.0</v>
      </c>
      <c r="T47" s="137">
        <f>Z47/1.247*H47+Z47/1.247*0.247*6</f>
        <v>3704.706489</v>
      </c>
      <c r="U47" s="137">
        <f>AA47/1.247*H47+AA47/1.247*0.247*6</f>
        <v>2160.517466</v>
      </c>
      <c r="V47" s="137">
        <f>AB47/1.247*H47+AB47/1.247*0.247*6</f>
        <v>1760.421639</v>
      </c>
      <c r="W47" s="141">
        <f t="shared" si="5"/>
        <v>1760.421639</v>
      </c>
      <c r="X47" s="137">
        <f t="shared" si="6"/>
        <v>842.4911407</v>
      </c>
      <c r="Y47" s="141" t="s">
        <v>12</v>
      </c>
      <c r="Z47" s="137">
        <f t="shared" si="43"/>
        <v>1672.617303</v>
      </c>
      <c r="AA47" s="137">
        <f t="shared" si="44"/>
        <v>975.44</v>
      </c>
      <c r="AB47" s="155">
        <f t="shared" si="45"/>
        <v>794.802963</v>
      </c>
      <c r="AC47" s="137">
        <f>AD47/1.247*H47+AD47/1.247*0.247*6</f>
        <v>52284.52268</v>
      </c>
      <c r="AD47" s="155">
        <f t="shared" si="49"/>
        <v>23605.648</v>
      </c>
      <c r="AE47" s="137">
        <f t="shared" si="50"/>
        <v>8240.51712</v>
      </c>
      <c r="AF47" s="137">
        <f t="shared" si="51"/>
        <v>6437.904</v>
      </c>
      <c r="AG47" s="139" t="s">
        <v>12</v>
      </c>
      <c r="AH47" s="128" t="s">
        <v>2148</v>
      </c>
      <c r="AI47" s="128" t="s">
        <v>136</v>
      </c>
    </row>
    <row r="48" ht="37.5" customHeight="1">
      <c r="A48" s="136"/>
      <c r="B48" s="13"/>
      <c r="C48" s="14" t="s">
        <v>42</v>
      </c>
      <c r="D48" s="14" t="s">
        <v>2149</v>
      </c>
      <c r="E48" s="14" t="s">
        <v>37</v>
      </c>
      <c r="F48" s="138">
        <v>34549.0</v>
      </c>
      <c r="G48" s="152">
        <v>655.941</v>
      </c>
      <c r="H48" s="139">
        <v>1.39</v>
      </c>
      <c r="I48" s="139">
        <v>1.25</v>
      </c>
      <c r="J48" s="152">
        <f>20074/18120</f>
        <v>1.107836645</v>
      </c>
      <c r="K48" s="154">
        <v>18.0</v>
      </c>
      <c r="L48" s="152">
        <f t="shared" ref="L48:L52" si="52">R48/(Q48-1)</f>
        <v>0.6916666667</v>
      </c>
      <c r="M48" s="153">
        <f t="shared" si="40"/>
        <v>86.74698795</v>
      </c>
      <c r="N48" s="152">
        <v>3.684</v>
      </c>
      <c r="O48" s="152">
        <v>3.017</v>
      </c>
      <c r="P48" s="138">
        <v>66.0</v>
      </c>
      <c r="Q48" s="138">
        <v>7.0</v>
      </c>
      <c r="R48" s="152">
        <v>4.15</v>
      </c>
      <c r="S48" s="141">
        <v>7.0</v>
      </c>
      <c r="T48" s="137">
        <f t="shared" ref="T48:T80" si="53">Z48*H48</f>
        <v>1318.204323</v>
      </c>
      <c r="U48" s="137">
        <f t="shared" ref="U48:U52" si="54">AA48*H48</f>
        <v>890.5128966</v>
      </c>
      <c r="V48" s="137">
        <f t="shared" ref="V48:V80" si="55">AB48*H48</f>
        <v>814.6931236</v>
      </c>
      <c r="W48" s="141">
        <f t="shared" si="5"/>
        <v>735.3910232</v>
      </c>
      <c r="X48" s="137">
        <f t="shared" si="6"/>
        <v>732.637701</v>
      </c>
      <c r="Y48" s="141" t="s">
        <v>12</v>
      </c>
      <c r="Z48" s="137">
        <f t="shared" si="43"/>
        <v>948.3484337</v>
      </c>
      <c r="AA48" s="137">
        <f t="shared" si="44"/>
        <v>640.6567602</v>
      </c>
      <c r="AB48" s="155">
        <f t="shared" si="45"/>
        <v>586.1101608</v>
      </c>
      <c r="AC48" s="137">
        <f t="shared" ref="AC48:AC56" si="56">AD48*H48</f>
        <v>16411.64382</v>
      </c>
      <c r="AD48" s="155">
        <f t="shared" si="49"/>
        <v>11806.938</v>
      </c>
      <c r="AE48" s="137">
        <f t="shared" si="50"/>
        <v>6382.30593</v>
      </c>
      <c r="AF48" s="137">
        <f t="shared" si="51"/>
        <v>4591.587</v>
      </c>
      <c r="AG48" s="139">
        <v>5.06</v>
      </c>
      <c r="AH48" s="128" t="s">
        <v>2150</v>
      </c>
      <c r="AI48" s="128" t="s">
        <v>136</v>
      </c>
    </row>
    <row r="49" ht="37.5" customHeight="1">
      <c r="A49" s="136"/>
      <c r="B49" s="13"/>
      <c r="C49" s="14" t="s">
        <v>42</v>
      </c>
      <c r="D49" s="128" t="s">
        <v>2030</v>
      </c>
      <c r="E49" s="14" t="s">
        <v>37</v>
      </c>
      <c r="F49" s="138">
        <v>36479.0</v>
      </c>
      <c r="G49" s="152">
        <v>712.149</v>
      </c>
      <c r="H49" s="139">
        <v>1.39</v>
      </c>
      <c r="I49" s="139">
        <v>1.25</v>
      </c>
      <c r="J49" s="152">
        <v>1.755</v>
      </c>
      <c r="K49" s="154">
        <v>18.0</v>
      </c>
      <c r="L49" s="152">
        <f t="shared" si="52"/>
        <v>0.8333333333</v>
      </c>
      <c r="M49" s="153">
        <f t="shared" si="40"/>
        <v>72</v>
      </c>
      <c r="N49" s="152">
        <v>3.733</v>
      </c>
      <c r="O49" s="152">
        <v>2.95</v>
      </c>
      <c r="P49" s="138">
        <v>59.0</v>
      </c>
      <c r="Q49" s="138">
        <v>7.0</v>
      </c>
      <c r="R49" s="152">
        <v>5.0</v>
      </c>
      <c r="S49" s="141">
        <v>7.0</v>
      </c>
      <c r="T49" s="137">
        <f t="shared" si="53"/>
        <v>1187.864532</v>
      </c>
      <c r="U49" s="137">
        <f t="shared" si="54"/>
        <v>871.5987132</v>
      </c>
      <c r="V49" s="137">
        <f t="shared" si="55"/>
        <v>793.4512504</v>
      </c>
      <c r="W49" s="141">
        <f t="shared" si="5"/>
        <v>452.1089746</v>
      </c>
      <c r="X49" s="137">
        <f t="shared" si="6"/>
        <v>713.5352971</v>
      </c>
      <c r="Y49" s="141" t="s">
        <v>12</v>
      </c>
      <c r="Z49" s="137">
        <f t="shared" si="43"/>
        <v>854.5788</v>
      </c>
      <c r="AA49" s="137">
        <f t="shared" si="44"/>
        <v>627.049434</v>
      </c>
      <c r="AB49" s="155">
        <f t="shared" si="45"/>
        <v>570.8282377</v>
      </c>
      <c r="AC49" s="137">
        <f t="shared" si="56"/>
        <v>17817.96798</v>
      </c>
      <c r="AD49" s="155">
        <f t="shared" si="49"/>
        <v>12818.682</v>
      </c>
      <c r="AE49" s="137">
        <f t="shared" si="50"/>
        <v>6929.20977</v>
      </c>
      <c r="AF49" s="137">
        <f t="shared" si="51"/>
        <v>4985.043</v>
      </c>
      <c r="AG49" s="139">
        <v>9.33</v>
      </c>
      <c r="AH49" s="128" t="s">
        <v>2151</v>
      </c>
      <c r="AI49" s="128" t="s">
        <v>136</v>
      </c>
    </row>
    <row r="50" ht="37.5" customHeight="1">
      <c r="A50" s="136"/>
      <c r="B50" s="13"/>
      <c r="C50" s="14" t="s">
        <v>42</v>
      </c>
      <c r="D50" s="128" t="s">
        <v>2152</v>
      </c>
      <c r="E50" s="14" t="s">
        <v>37</v>
      </c>
      <c r="F50" s="138"/>
      <c r="G50" s="152">
        <v>644.59</v>
      </c>
      <c r="H50" s="139">
        <v>1.39</v>
      </c>
      <c r="I50" s="139">
        <v>1.25</v>
      </c>
      <c r="J50" s="152">
        <v>1.755</v>
      </c>
      <c r="K50" s="154">
        <v>24.0</v>
      </c>
      <c r="L50" s="152">
        <f t="shared" si="52"/>
        <v>0.6904285714</v>
      </c>
      <c r="M50" s="153">
        <f t="shared" si="40"/>
        <v>86.902545</v>
      </c>
      <c r="N50" s="152">
        <v>3.75</v>
      </c>
      <c r="O50" s="152">
        <v>3.083</v>
      </c>
      <c r="P50" s="154">
        <v>67.0</v>
      </c>
      <c r="Q50" s="154">
        <v>8.0</v>
      </c>
      <c r="R50" s="152">
        <v>4.833</v>
      </c>
      <c r="S50" s="141">
        <v>7.0</v>
      </c>
      <c r="T50" s="137">
        <f t="shared" si="53"/>
        <v>1297.715849</v>
      </c>
      <c r="U50" s="137">
        <f t="shared" si="54"/>
        <v>905.4877211</v>
      </c>
      <c r="V50" s="137">
        <f t="shared" si="55"/>
        <v>835.1206804</v>
      </c>
      <c r="W50" s="141">
        <f t="shared" si="5"/>
        <v>475.8522396</v>
      </c>
      <c r="X50" s="137">
        <f t="shared" si="6"/>
        <v>751.0078061</v>
      </c>
      <c r="Y50" s="141" t="s">
        <v>12</v>
      </c>
      <c r="Z50" s="137">
        <f t="shared" si="43"/>
        <v>933.6085247</v>
      </c>
      <c r="AA50" s="137">
        <f t="shared" si="44"/>
        <v>651.4300152</v>
      </c>
      <c r="AB50" s="155">
        <f t="shared" si="45"/>
        <v>600.8062449</v>
      </c>
      <c r="AC50" s="137">
        <f t="shared" si="56"/>
        <v>21503.5224</v>
      </c>
      <c r="AD50" s="155">
        <f t="shared" si="49"/>
        <v>15470.16</v>
      </c>
      <c r="AE50" s="137">
        <f t="shared" si="50"/>
        <v>6271.8607</v>
      </c>
      <c r="AF50" s="137">
        <f t="shared" si="51"/>
        <v>4512.13</v>
      </c>
      <c r="AG50" s="151" t="s">
        <v>23</v>
      </c>
      <c r="AH50" s="128" t="s">
        <v>2153</v>
      </c>
      <c r="AI50" s="128" t="s">
        <v>136</v>
      </c>
    </row>
    <row r="51" ht="37.5" customHeight="1">
      <c r="A51" s="136"/>
      <c r="B51" s="13"/>
      <c r="C51" s="14" t="s">
        <v>2021</v>
      </c>
      <c r="D51" s="14" t="s">
        <v>13</v>
      </c>
      <c r="E51" s="14" t="s">
        <v>37</v>
      </c>
      <c r="F51" s="138">
        <v>28983.0</v>
      </c>
      <c r="G51" s="152">
        <v>564.934</v>
      </c>
      <c r="H51" s="139">
        <v>3.29</v>
      </c>
      <c r="I51" s="139">
        <v>2.26</v>
      </c>
      <c r="J51" s="152">
        <v>3.244</v>
      </c>
      <c r="K51" s="154">
        <v>24.0</v>
      </c>
      <c r="L51" s="152">
        <f t="shared" si="52"/>
        <v>0.66675</v>
      </c>
      <c r="M51" s="153">
        <f t="shared" si="40"/>
        <v>89.98875141</v>
      </c>
      <c r="N51" s="152">
        <v>1.85</v>
      </c>
      <c r="O51" s="152">
        <v>1.75</v>
      </c>
      <c r="P51" s="138">
        <v>49.0</v>
      </c>
      <c r="Q51" s="138">
        <v>5.0</v>
      </c>
      <c r="R51" s="152">
        <v>2.667</v>
      </c>
      <c r="S51" s="141">
        <v>9.0</v>
      </c>
      <c r="T51" s="137">
        <f t="shared" si="53"/>
        <v>2787.60084</v>
      </c>
      <c r="U51" s="137">
        <f t="shared" si="54"/>
        <v>2103.953883</v>
      </c>
      <c r="V51" s="137">
        <f t="shared" si="55"/>
        <v>2057.375315</v>
      </c>
      <c r="W51" s="141">
        <f t="shared" si="5"/>
        <v>634.2094067</v>
      </c>
      <c r="X51" s="137">
        <f t="shared" si="6"/>
        <v>1413.273013</v>
      </c>
      <c r="Y51" s="141" t="s">
        <v>12</v>
      </c>
      <c r="Z51" s="137">
        <f t="shared" si="43"/>
        <v>847.2950881</v>
      </c>
      <c r="AA51" s="137">
        <f t="shared" si="44"/>
        <v>639.4996604</v>
      </c>
      <c r="AB51" s="155">
        <f t="shared" si="45"/>
        <v>625.3420412</v>
      </c>
      <c r="AC51" s="137">
        <f t="shared" si="56"/>
        <v>44607.18864</v>
      </c>
      <c r="AD51" s="155">
        <f t="shared" si="49"/>
        <v>13558.416</v>
      </c>
      <c r="AE51" s="137">
        <f t="shared" si="50"/>
        <v>16727.69574</v>
      </c>
      <c r="AF51" s="137">
        <f t="shared" si="51"/>
        <v>5084.406</v>
      </c>
      <c r="AG51" s="139" t="s">
        <v>12</v>
      </c>
      <c r="AH51" s="128" t="s">
        <v>2154</v>
      </c>
      <c r="AI51" s="128" t="s">
        <v>136</v>
      </c>
    </row>
    <row r="52" ht="37.5" customHeight="1">
      <c r="A52" s="136"/>
      <c r="B52" s="13"/>
      <c r="C52" s="14" t="s">
        <v>2021</v>
      </c>
      <c r="D52" s="14" t="s">
        <v>16</v>
      </c>
      <c r="E52" s="14" t="s">
        <v>37</v>
      </c>
      <c r="F52" s="138">
        <v>35464.0</v>
      </c>
      <c r="G52" s="152">
        <v>691.27</v>
      </c>
      <c r="H52" s="139">
        <v>3.29</v>
      </c>
      <c r="I52" s="139">
        <v>2.26</v>
      </c>
      <c r="J52" s="152">
        <v>3.5</v>
      </c>
      <c r="K52" s="154">
        <v>20.0</v>
      </c>
      <c r="L52" s="152">
        <f t="shared" si="52"/>
        <v>0.83325</v>
      </c>
      <c r="M52" s="153">
        <f t="shared" si="40"/>
        <v>72.00720072</v>
      </c>
      <c r="N52" s="152">
        <v>2.533</v>
      </c>
      <c r="O52" s="152">
        <v>1.867</v>
      </c>
      <c r="P52" s="138">
        <v>41.0</v>
      </c>
      <c r="Q52" s="138">
        <v>5.0</v>
      </c>
      <c r="R52" s="152">
        <v>3.333</v>
      </c>
      <c r="S52" s="141">
        <v>9.0</v>
      </c>
      <c r="T52" s="137">
        <f t="shared" si="53"/>
        <v>2729.406901</v>
      </c>
      <c r="U52" s="137">
        <f t="shared" si="54"/>
        <v>2186.806058</v>
      </c>
      <c r="V52" s="137">
        <f t="shared" si="55"/>
        <v>1938.525656</v>
      </c>
      <c r="W52" s="141">
        <f t="shared" si="5"/>
        <v>553.8644732</v>
      </c>
      <c r="X52" s="137">
        <f t="shared" si="6"/>
        <v>1331.631606</v>
      </c>
      <c r="Y52" s="141" t="s">
        <v>12</v>
      </c>
      <c r="Z52" s="137">
        <f t="shared" si="43"/>
        <v>829.6069607</v>
      </c>
      <c r="AA52" s="137">
        <f t="shared" si="44"/>
        <v>664.6826923</v>
      </c>
      <c r="AB52" s="155">
        <f t="shared" si="45"/>
        <v>589.2175247</v>
      </c>
      <c r="AC52" s="137">
        <f t="shared" si="56"/>
        <v>45485.566</v>
      </c>
      <c r="AD52" s="155">
        <f t="shared" si="49"/>
        <v>13825.4</v>
      </c>
      <c r="AE52" s="137">
        <f t="shared" si="50"/>
        <v>20468.5047</v>
      </c>
      <c r="AF52" s="137">
        <f t="shared" si="51"/>
        <v>6221.43</v>
      </c>
      <c r="AG52" s="139" t="s">
        <v>12</v>
      </c>
      <c r="AH52" s="128" t="s">
        <v>2155</v>
      </c>
      <c r="AI52" s="128" t="s">
        <v>136</v>
      </c>
    </row>
    <row r="53" ht="37.5" customHeight="1">
      <c r="A53" s="136"/>
      <c r="B53" s="13"/>
      <c r="C53" s="14" t="s">
        <v>21</v>
      </c>
      <c r="D53" s="14" t="s">
        <v>2156</v>
      </c>
      <c r="E53" s="14" t="s">
        <v>9</v>
      </c>
      <c r="F53" s="138">
        <f>93187+26186*2</f>
        <v>145559</v>
      </c>
      <c r="G53" s="152">
        <f>1365.622+399.632*2+75.8101*5</f>
        <v>2543.9365</v>
      </c>
      <c r="H53" s="139">
        <v>1.49</v>
      </c>
      <c r="I53" s="139">
        <v>1.18</v>
      </c>
      <c r="J53" s="152" t="s">
        <v>12</v>
      </c>
      <c r="K53" s="154">
        <v>77.0</v>
      </c>
      <c r="L53" s="152">
        <f t="shared" ref="L53:L55" si="57">R53</f>
        <v>2.317</v>
      </c>
      <c r="M53" s="164" t="s">
        <v>12</v>
      </c>
      <c r="N53" s="150" t="s">
        <v>12</v>
      </c>
      <c r="O53" s="150" t="s">
        <v>12</v>
      </c>
      <c r="P53" s="154" t="s">
        <v>12</v>
      </c>
      <c r="Q53" s="154" t="s">
        <v>12</v>
      </c>
      <c r="R53" s="150">
        <v>2.317</v>
      </c>
      <c r="S53" s="141" t="s">
        <v>23</v>
      </c>
      <c r="T53" s="137">
        <f t="shared" si="53"/>
        <v>1635.936722</v>
      </c>
      <c r="U53" s="137" t="s">
        <v>12</v>
      </c>
      <c r="V53" s="137">
        <f t="shared" si="55"/>
        <v>1635.936722</v>
      </c>
      <c r="W53" s="141">
        <f t="shared" si="5"/>
        <v>1635.936722</v>
      </c>
      <c r="X53" s="137">
        <f t="shared" si="6"/>
        <v>1295.574048</v>
      </c>
      <c r="Y53" s="141" t="s">
        <v>12</v>
      </c>
      <c r="Z53" s="137">
        <f t="shared" ref="Z53:Z55" si="58">AB53</f>
        <v>1097.944109</v>
      </c>
      <c r="AA53" s="137" t="s">
        <v>12</v>
      </c>
      <c r="AB53" s="155">
        <f t="shared" ref="AB53:AB55" si="59">G53/L53</f>
        <v>1097.944109</v>
      </c>
      <c r="AC53" s="137">
        <f t="shared" si="56"/>
        <v>48644.30577</v>
      </c>
      <c r="AD53" s="155">
        <f>K53/6*G53</f>
        <v>32647.18508</v>
      </c>
      <c r="AE53" s="137" t="str">
        <f t="shared" si="50"/>
        <v>#VALUE!</v>
      </c>
      <c r="AF53" s="137" t="str">
        <f>S53/6*G53</f>
        <v>#VALUE!</v>
      </c>
      <c r="AG53" s="139" t="s">
        <v>12</v>
      </c>
      <c r="AH53" s="128" t="s">
        <v>2157</v>
      </c>
      <c r="AI53" s="128" t="s">
        <v>136</v>
      </c>
    </row>
    <row r="54" ht="37.5" customHeight="1">
      <c r="A54" s="136"/>
      <c r="B54" s="13"/>
      <c r="C54" s="14" t="s">
        <v>21</v>
      </c>
      <c r="D54" s="14" t="s">
        <v>2158</v>
      </c>
      <c r="E54" s="14" t="s">
        <v>9</v>
      </c>
      <c r="F54" s="138">
        <f>103711+34467*2</f>
        <v>172645</v>
      </c>
      <c r="G54" s="152">
        <f>1794.15+598.096*2+75.8101*5</f>
        <v>3369.3925</v>
      </c>
      <c r="H54" s="139">
        <v>1.49</v>
      </c>
      <c r="I54" s="139">
        <v>1.18</v>
      </c>
      <c r="J54" s="152" t="s">
        <v>12</v>
      </c>
      <c r="K54" s="154" t="s">
        <v>23</v>
      </c>
      <c r="L54" s="152">
        <f t="shared" si="57"/>
        <v>3.233</v>
      </c>
      <c r="M54" s="164" t="s">
        <v>12</v>
      </c>
      <c r="N54" s="150" t="s">
        <v>12</v>
      </c>
      <c r="O54" s="150" t="s">
        <v>12</v>
      </c>
      <c r="P54" s="154" t="s">
        <v>12</v>
      </c>
      <c r="Q54" s="154" t="s">
        <v>12</v>
      </c>
      <c r="R54" s="150">
        <v>3.233</v>
      </c>
      <c r="S54" s="141" t="s">
        <v>23</v>
      </c>
      <c r="T54" s="137">
        <f t="shared" si="53"/>
        <v>1552.859519</v>
      </c>
      <c r="U54" s="137" t="s">
        <v>12</v>
      </c>
      <c r="V54" s="137">
        <f t="shared" si="55"/>
        <v>1552.859519</v>
      </c>
      <c r="W54" s="141">
        <f t="shared" si="5"/>
        <v>1552.859519</v>
      </c>
      <c r="X54" s="137">
        <f t="shared" si="6"/>
        <v>1229.781364</v>
      </c>
      <c r="Y54" s="141" t="s">
        <v>12</v>
      </c>
      <c r="Z54" s="137">
        <f t="shared" si="58"/>
        <v>1042.187597</v>
      </c>
      <c r="AA54" s="137" t="s">
        <v>12</v>
      </c>
      <c r="AB54" s="155">
        <f t="shared" si="59"/>
        <v>1042.187597</v>
      </c>
      <c r="AC54" s="137" t="str">
        <f t="shared" si="56"/>
        <v>#VALUE!</v>
      </c>
      <c r="AD54" s="155" t="str">
        <f>K54/5*G54</f>
        <v>#VALUE!</v>
      </c>
      <c r="AE54" s="137" t="str">
        <f t="shared" si="50"/>
        <v>#VALUE!</v>
      </c>
      <c r="AF54" s="137" t="str">
        <f>S54/5*G54</f>
        <v>#VALUE!</v>
      </c>
      <c r="AG54" s="139" t="s">
        <v>12</v>
      </c>
      <c r="AH54" s="128" t="s">
        <v>2159</v>
      </c>
      <c r="AI54" s="128" t="s">
        <v>136</v>
      </c>
    </row>
    <row r="55" ht="37.5" customHeight="1">
      <c r="A55" s="136"/>
      <c r="B55" s="13"/>
      <c r="C55" s="14" t="s">
        <v>21</v>
      </c>
      <c r="D55" s="14" t="s">
        <v>2160</v>
      </c>
      <c r="E55" s="14" t="s">
        <v>9</v>
      </c>
      <c r="F55" s="138">
        <f>20502*1.17</f>
        <v>23987.34</v>
      </c>
      <c r="G55" s="152">
        <f>399.632+75.8101</f>
        <v>475.4421</v>
      </c>
      <c r="H55" s="139">
        <v>1.49</v>
      </c>
      <c r="I55" s="139">
        <v>1.18</v>
      </c>
      <c r="J55" s="152" t="s">
        <v>12</v>
      </c>
      <c r="K55" s="154">
        <v>90.0</v>
      </c>
      <c r="L55" s="152">
        <f t="shared" si="57"/>
        <v>0.466</v>
      </c>
      <c r="M55" s="164" t="s">
        <v>12</v>
      </c>
      <c r="N55" s="150" t="s">
        <v>12</v>
      </c>
      <c r="O55" s="150" t="s">
        <v>12</v>
      </c>
      <c r="P55" s="154" t="s">
        <v>12</v>
      </c>
      <c r="Q55" s="154" t="s">
        <v>12</v>
      </c>
      <c r="R55" s="150">
        <v>0.466</v>
      </c>
      <c r="S55" s="141" t="s">
        <v>23</v>
      </c>
      <c r="T55" s="137">
        <f t="shared" si="53"/>
        <v>1520.190406</v>
      </c>
      <c r="U55" s="137" t="s">
        <v>12</v>
      </c>
      <c r="V55" s="137">
        <f t="shared" si="55"/>
        <v>1520.190406</v>
      </c>
      <c r="W55" s="141">
        <f t="shared" si="5"/>
        <v>1520.190406</v>
      </c>
      <c r="X55" s="137">
        <f t="shared" si="6"/>
        <v>1203.90918</v>
      </c>
      <c r="Y55" s="141" t="s">
        <v>12</v>
      </c>
      <c r="Z55" s="137">
        <f t="shared" si="58"/>
        <v>1020.262017</v>
      </c>
      <c r="AA55" s="137" t="s">
        <v>12</v>
      </c>
      <c r="AB55" s="155">
        <f t="shared" si="59"/>
        <v>1020.262017</v>
      </c>
      <c r="AC55" s="137">
        <f t="shared" si="56"/>
        <v>63756.78561</v>
      </c>
      <c r="AD55" s="155">
        <f t="shared" ref="AD55:AD56" si="60">K55*G55</f>
        <v>42789.789</v>
      </c>
      <c r="AE55" s="137" t="str">
        <f t="shared" si="50"/>
        <v>#VALUE!</v>
      </c>
      <c r="AF55" s="137" t="str">
        <f t="shared" ref="AF55:AF56" si="61">S55*G55</f>
        <v>#VALUE!</v>
      </c>
      <c r="AG55" s="139" t="s">
        <v>12</v>
      </c>
      <c r="AH55" s="128" t="s">
        <v>2161</v>
      </c>
      <c r="AI55" s="128" t="s">
        <v>136</v>
      </c>
    </row>
    <row r="56" ht="37.5" customHeight="1">
      <c r="A56" s="136"/>
      <c r="B56" s="13"/>
      <c r="C56" s="14" t="s">
        <v>2002</v>
      </c>
      <c r="D56" s="14" t="s">
        <v>1998</v>
      </c>
      <c r="E56" s="14" t="s">
        <v>9</v>
      </c>
      <c r="F56" s="138">
        <v>2797.0</v>
      </c>
      <c r="G56" s="152">
        <v>54.536</v>
      </c>
      <c r="H56" s="139">
        <v>1.95</v>
      </c>
      <c r="I56" s="139">
        <v>1.56</v>
      </c>
      <c r="J56" s="152">
        <f>1603/1229</f>
        <v>1.304312449</v>
      </c>
      <c r="K56" s="154">
        <v>582.0</v>
      </c>
      <c r="L56" s="152">
        <f t="shared" ref="L56:L74" si="62">R56/(Q56-1)</f>
        <v>0.06682075472</v>
      </c>
      <c r="M56" s="153">
        <f t="shared" ref="M56:M82" si="63">60/L56</f>
        <v>897.9246082</v>
      </c>
      <c r="N56" s="150">
        <v>2.95</v>
      </c>
      <c r="O56" s="150">
        <v>2.483</v>
      </c>
      <c r="P56" s="154">
        <v>71.0</v>
      </c>
      <c r="Q56" s="154">
        <v>107.0</v>
      </c>
      <c r="R56" s="150">
        <v>7.083</v>
      </c>
      <c r="S56" s="141">
        <v>94.0</v>
      </c>
      <c r="T56" s="137">
        <f t="shared" si="53"/>
        <v>1591.499534</v>
      </c>
      <c r="U56" s="137">
        <f t="shared" ref="U56:U80" si="64">AA56*H56</f>
        <v>1189.518754</v>
      </c>
      <c r="V56" s="137">
        <f t="shared" si="55"/>
        <v>1134.150942</v>
      </c>
      <c r="W56" s="141">
        <f t="shared" si="5"/>
        <v>869.539306</v>
      </c>
      <c r="X56" s="137">
        <f t="shared" si="6"/>
        <v>907.3207535</v>
      </c>
      <c r="Y56" s="137">
        <f t="shared" ref="Y56:Y75" si="65">SUM(X56*0.7,V56)</f>
        <v>1769.275469</v>
      </c>
      <c r="Z56" s="137">
        <f t="shared" ref="Z56:Z82" si="66">G56/L56</f>
        <v>816.1536072</v>
      </c>
      <c r="AA56" s="137">
        <f t="shared" ref="AA56:AA82" si="67">(G56*Q56)/(R56+O56)</f>
        <v>610.0096174</v>
      </c>
      <c r="AB56" s="155">
        <f t="shared" ref="AB56:AB82" si="68">(Q56*G56)/(R56+N56)</f>
        <v>581.6158676</v>
      </c>
      <c r="AC56" s="137">
        <f t="shared" si="56"/>
        <v>61892.9064</v>
      </c>
      <c r="AD56" s="155">
        <f t="shared" si="60"/>
        <v>31739.952</v>
      </c>
      <c r="AE56" s="137">
        <f t="shared" si="50"/>
        <v>9996.4488</v>
      </c>
      <c r="AF56" s="137">
        <f t="shared" si="61"/>
        <v>5126.384</v>
      </c>
      <c r="AG56" s="139">
        <v>46.42</v>
      </c>
      <c r="AH56" s="128" t="s">
        <v>2162</v>
      </c>
      <c r="AI56" s="128" t="s">
        <v>136</v>
      </c>
    </row>
    <row r="57" ht="37.5" customHeight="1">
      <c r="A57" s="136"/>
      <c r="B57" s="128"/>
      <c r="C57" s="14" t="s">
        <v>2013</v>
      </c>
      <c r="D57" s="14" t="s">
        <v>30</v>
      </c>
      <c r="E57" s="14" t="s">
        <v>26</v>
      </c>
      <c r="F57" s="141">
        <v>3109.0</v>
      </c>
      <c r="G57" s="150">
        <f>121.299/2</f>
        <v>60.6495</v>
      </c>
      <c r="H57" s="151">
        <v>2.47</v>
      </c>
      <c r="I57" s="151">
        <v>2.42</v>
      </c>
      <c r="J57" s="150">
        <f>1781/810</f>
        <v>2.198765432</v>
      </c>
      <c r="K57" s="137" t="s">
        <v>12</v>
      </c>
      <c r="L57" s="152">
        <f t="shared" si="62"/>
        <v>0.2261904762</v>
      </c>
      <c r="M57" s="153">
        <f t="shared" si="63"/>
        <v>265.2631579</v>
      </c>
      <c r="N57" s="150">
        <v>2.067</v>
      </c>
      <c r="O57" s="150">
        <v>1.483</v>
      </c>
      <c r="P57" s="154">
        <v>51.0</v>
      </c>
      <c r="Q57" s="154">
        <v>22.0</v>
      </c>
      <c r="R57" s="150">
        <f>4.75</f>
        <v>4.75</v>
      </c>
      <c r="S57" s="141" t="s">
        <v>12</v>
      </c>
      <c r="T57" s="137">
        <f t="shared" si="53"/>
        <v>662.29254</v>
      </c>
      <c r="U57" s="137">
        <f t="shared" si="64"/>
        <v>528.7492107</v>
      </c>
      <c r="V57" s="137">
        <f t="shared" si="55"/>
        <v>483.4522268</v>
      </c>
      <c r="W57" s="141">
        <f t="shared" si="5"/>
        <v>219.8743985</v>
      </c>
      <c r="X57" s="137">
        <f t="shared" si="6"/>
        <v>473.6657445</v>
      </c>
      <c r="Y57" s="137">
        <f t="shared" si="65"/>
        <v>815.0182479</v>
      </c>
      <c r="Z57" s="137">
        <f t="shared" si="66"/>
        <v>268.1346316</v>
      </c>
      <c r="AA57" s="137">
        <f t="shared" si="67"/>
        <v>214.0685063</v>
      </c>
      <c r="AB57" s="155">
        <f t="shared" si="68"/>
        <v>195.7296465</v>
      </c>
      <c r="AC57" s="137" t="s">
        <v>2012</v>
      </c>
      <c r="AD57" s="155" t="s">
        <v>2012</v>
      </c>
      <c r="AE57" s="141" t="s">
        <v>12</v>
      </c>
      <c r="AF57" s="137" t="s">
        <v>12</v>
      </c>
      <c r="AG57" s="139">
        <v>31.56</v>
      </c>
      <c r="AH57" s="128" t="s">
        <v>2163</v>
      </c>
      <c r="AI57" s="128" t="s">
        <v>136</v>
      </c>
    </row>
    <row r="58" ht="37.5" customHeight="1">
      <c r="A58" s="136"/>
      <c r="B58" s="13"/>
      <c r="C58" s="14" t="s">
        <v>35</v>
      </c>
      <c r="D58" s="14" t="s">
        <v>17</v>
      </c>
      <c r="E58" s="14" t="s">
        <v>26</v>
      </c>
      <c r="F58" s="141">
        <v>4260.0</v>
      </c>
      <c r="G58" s="150">
        <v>83.053</v>
      </c>
      <c r="H58" s="151">
        <v>1.67</v>
      </c>
      <c r="I58" s="151">
        <v>1.49</v>
      </c>
      <c r="J58" s="150">
        <v>1.598</v>
      </c>
      <c r="K58" s="137" t="s">
        <v>12</v>
      </c>
      <c r="L58" s="152">
        <f t="shared" si="62"/>
        <v>0.2333571429</v>
      </c>
      <c r="M58" s="153">
        <f t="shared" si="63"/>
        <v>257.1166208</v>
      </c>
      <c r="N58" s="150">
        <v>1.35</v>
      </c>
      <c r="O58" s="150">
        <v>0.933</v>
      </c>
      <c r="P58" s="154">
        <v>46.0</v>
      </c>
      <c r="Q58" s="154">
        <v>15.0</v>
      </c>
      <c r="R58" s="150">
        <v>3.267</v>
      </c>
      <c r="S58" s="141" t="s">
        <v>12</v>
      </c>
      <c r="T58" s="137">
        <f t="shared" si="53"/>
        <v>594.3615366</v>
      </c>
      <c r="U58" s="137">
        <f t="shared" si="64"/>
        <v>495.3518214</v>
      </c>
      <c r="V58" s="137">
        <f t="shared" si="55"/>
        <v>450.6124431</v>
      </c>
      <c r="W58" s="141">
        <f t="shared" si="5"/>
        <v>281.9852585</v>
      </c>
      <c r="X58" s="137">
        <f t="shared" si="6"/>
        <v>402.0434373</v>
      </c>
      <c r="Y58" s="137">
        <f t="shared" si="65"/>
        <v>732.0428493</v>
      </c>
      <c r="Z58" s="137">
        <f t="shared" si="66"/>
        <v>355.9051117</v>
      </c>
      <c r="AA58" s="137">
        <f t="shared" si="67"/>
        <v>296.6178571</v>
      </c>
      <c r="AB58" s="155">
        <f t="shared" si="68"/>
        <v>269.8278103</v>
      </c>
      <c r="AC58" s="137" t="s">
        <v>2012</v>
      </c>
      <c r="AD58" s="155" t="s">
        <v>2012</v>
      </c>
      <c r="AE58" s="141" t="s">
        <v>12</v>
      </c>
      <c r="AF58" s="137" t="s">
        <v>12</v>
      </c>
      <c r="AG58" s="139">
        <v>16.22</v>
      </c>
      <c r="AH58" s="128" t="s">
        <v>2164</v>
      </c>
      <c r="AI58" s="128" t="s">
        <v>136</v>
      </c>
    </row>
    <row r="59" ht="37.5" customHeight="1">
      <c r="A59" s="156"/>
      <c r="B59" s="128"/>
      <c r="C59" s="157" t="s">
        <v>2050</v>
      </c>
      <c r="D59" s="157" t="s">
        <v>2165</v>
      </c>
      <c r="E59" s="157" t="s">
        <v>26</v>
      </c>
      <c r="F59" s="158"/>
      <c r="G59" s="159">
        <v>68.493</v>
      </c>
      <c r="H59" s="160">
        <f>635/331</f>
        <v>1.918429003</v>
      </c>
      <c r="I59" s="160">
        <f>506/331</f>
        <v>1.528700906</v>
      </c>
      <c r="J59" s="159">
        <f>1085/556
</f>
        <v>1.951438849</v>
      </c>
      <c r="K59" s="158" t="s">
        <v>12</v>
      </c>
      <c r="L59" s="161">
        <f t="shared" si="62"/>
        <v>0.2085106383</v>
      </c>
      <c r="M59" s="162">
        <f t="shared" si="63"/>
        <v>287.755102</v>
      </c>
      <c r="N59" s="159">
        <v>2.2</v>
      </c>
      <c r="O59" s="159">
        <v>1.333</v>
      </c>
      <c r="P59" s="163">
        <v>57.0</v>
      </c>
      <c r="Q59" s="163">
        <f>4875/175</f>
        <v>27.85714286</v>
      </c>
      <c r="R59" s="159">
        <v>5.6</v>
      </c>
      <c r="S59" s="160" t="s">
        <v>12</v>
      </c>
      <c r="T59" s="137">
        <f t="shared" si="53"/>
        <v>630.1786747</v>
      </c>
      <c r="U59" s="137">
        <f t="shared" si="64"/>
        <v>527.9676238</v>
      </c>
      <c r="V59" s="137">
        <f t="shared" si="55"/>
        <v>469.2819918</v>
      </c>
      <c r="W59" s="141">
        <f t="shared" si="5"/>
        <v>240.4799884</v>
      </c>
      <c r="X59" s="137">
        <f t="shared" si="6"/>
        <v>373.9475399</v>
      </c>
      <c r="Y59" s="137">
        <f t="shared" si="65"/>
        <v>731.0452697</v>
      </c>
      <c r="Z59" s="137">
        <f t="shared" si="66"/>
        <v>328.4868367</v>
      </c>
      <c r="AA59" s="137">
        <f t="shared" si="67"/>
        <v>275.2083205</v>
      </c>
      <c r="AB59" s="155">
        <f t="shared" si="68"/>
        <v>244.6178571</v>
      </c>
      <c r="AC59" s="137" t="s">
        <v>2012</v>
      </c>
      <c r="AD59" s="155" t="s">
        <v>2012</v>
      </c>
      <c r="AE59" s="141" t="s">
        <v>12</v>
      </c>
      <c r="AF59" s="137" t="s">
        <v>12</v>
      </c>
      <c r="AG59" s="160" t="s">
        <v>23</v>
      </c>
      <c r="AH59" s="157" t="s">
        <v>2166</v>
      </c>
      <c r="AI59" s="157" t="s">
        <v>136</v>
      </c>
    </row>
    <row r="60" ht="37.5" customHeight="1">
      <c r="A60" s="136"/>
      <c r="B60" s="13"/>
      <c r="C60" s="14" t="s">
        <v>2016</v>
      </c>
      <c r="D60" s="14" t="s">
        <v>30</v>
      </c>
      <c r="E60" s="14" t="s">
        <v>26</v>
      </c>
      <c r="F60" s="141">
        <v>2523.0</v>
      </c>
      <c r="G60" s="150">
        <f>98.365/2</f>
        <v>49.1825</v>
      </c>
      <c r="H60" s="151">
        <v>2.31</v>
      </c>
      <c r="I60" s="151">
        <v>1.52</v>
      </c>
      <c r="J60" s="150">
        <f>1446/780</f>
        <v>1.853846154</v>
      </c>
      <c r="K60" s="137" t="s">
        <v>12</v>
      </c>
      <c r="L60" s="152">
        <f t="shared" si="62"/>
        <v>0.1782608696</v>
      </c>
      <c r="M60" s="153">
        <f t="shared" si="63"/>
        <v>336.5853659</v>
      </c>
      <c r="N60" s="150">
        <v>1.383</v>
      </c>
      <c r="O60" s="152">
        <v>1.1</v>
      </c>
      <c r="P60" s="154">
        <v>61.0</v>
      </c>
      <c r="Q60" s="154">
        <v>24.0</v>
      </c>
      <c r="R60" s="150">
        <v>4.1</v>
      </c>
      <c r="S60" s="141" t="s">
        <v>12</v>
      </c>
      <c r="T60" s="137">
        <f t="shared" si="53"/>
        <v>637.3332256</v>
      </c>
      <c r="U60" s="137">
        <f t="shared" si="64"/>
        <v>524.3611154</v>
      </c>
      <c r="V60" s="137">
        <f t="shared" si="55"/>
        <v>497.2966989</v>
      </c>
      <c r="W60" s="141">
        <f t="shared" si="5"/>
        <v>268.2513314</v>
      </c>
      <c r="X60" s="137">
        <f t="shared" si="6"/>
        <v>327.2255335</v>
      </c>
      <c r="Y60" s="137">
        <f t="shared" si="65"/>
        <v>726.3545723</v>
      </c>
      <c r="Z60" s="137">
        <f t="shared" si="66"/>
        <v>275.9018293</v>
      </c>
      <c r="AA60" s="137">
        <f t="shared" si="67"/>
        <v>226.9961538</v>
      </c>
      <c r="AB60" s="155">
        <f t="shared" si="68"/>
        <v>215.2799562</v>
      </c>
      <c r="AC60" s="137" t="s">
        <v>2012</v>
      </c>
      <c r="AD60" s="155" t="s">
        <v>2012</v>
      </c>
      <c r="AE60" s="141" t="s">
        <v>12</v>
      </c>
      <c r="AF60" s="137" t="s">
        <v>12</v>
      </c>
      <c r="AG60" s="139">
        <v>37.27</v>
      </c>
      <c r="AH60" s="128" t="s">
        <v>2167</v>
      </c>
      <c r="AI60" s="128" t="s">
        <v>136</v>
      </c>
    </row>
    <row r="61" ht="37.5" customHeight="1">
      <c r="A61" s="136"/>
      <c r="B61" s="13"/>
      <c r="C61" s="14" t="s">
        <v>2016</v>
      </c>
      <c r="D61" s="14" t="s">
        <v>1998</v>
      </c>
      <c r="E61" s="14" t="s">
        <v>26</v>
      </c>
      <c r="F61" s="141">
        <v>1444.0</v>
      </c>
      <c r="G61" s="150">
        <f>84.511/3</f>
        <v>28.17033333</v>
      </c>
      <c r="H61" s="151">
        <v>2.31</v>
      </c>
      <c r="I61" s="151">
        <v>1.52</v>
      </c>
      <c r="J61" s="150">
        <f>817/432</f>
        <v>1.891203704</v>
      </c>
      <c r="K61" s="137" t="s">
        <v>12</v>
      </c>
      <c r="L61" s="152">
        <f t="shared" si="62"/>
        <v>0.1087045455</v>
      </c>
      <c r="M61" s="153">
        <f t="shared" si="63"/>
        <v>551.9548401</v>
      </c>
      <c r="N61" s="150">
        <v>1.133</v>
      </c>
      <c r="O61" s="150">
        <v>0.983</v>
      </c>
      <c r="P61" s="154">
        <v>59.0</v>
      </c>
      <c r="Q61" s="154">
        <v>45.0</v>
      </c>
      <c r="R61" s="150">
        <v>4.783</v>
      </c>
      <c r="S61" s="141" t="s">
        <v>12</v>
      </c>
      <c r="T61" s="137">
        <f t="shared" si="53"/>
        <v>598.6269454</v>
      </c>
      <c r="U61" s="137">
        <f t="shared" si="64"/>
        <v>507.8574662</v>
      </c>
      <c r="V61" s="137">
        <f t="shared" si="55"/>
        <v>494.9807556</v>
      </c>
      <c r="W61" s="141">
        <f t="shared" si="5"/>
        <v>261.7278903</v>
      </c>
      <c r="X61" s="137">
        <f t="shared" si="6"/>
        <v>325.7016227</v>
      </c>
      <c r="Y61" s="137">
        <f t="shared" si="65"/>
        <v>722.9718915</v>
      </c>
      <c r="Z61" s="137">
        <f t="shared" si="66"/>
        <v>259.1458638</v>
      </c>
      <c r="AA61" s="137">
        <f t="shared" si="67"/>
        <v>219.851717</v>
      </c>
      <c r="AB61" s="155">
        <f t="shared" si="68"/>
        <v>214.2773834</v>
      </c>
      <c r="AC61" s="137" t="s">
        <v>2012</v>
      </c>
      <c r="AD61" s="155" t="s">
        <v>2012</v>
      </c>
      <c r="AE61" s="141" t="s">
        <v>12</v>
      </c>
      <c r="AF61" s="137" t="s">
        <v>12</v>
      </c>
      <c r="AG61" s="139">
        <v>31.54</v>
      </c>
      <c r="AH61" s="128" t="s">
        <v>2167</v>
      </c>
      <c r="AI61" s="128" t="s">
        <v>136</v>
      </c>
    </row>
    <row r="62" ht="37.5" customHeight="1">
      <c r="A62" s="136"/>
      <c r="B62" s="13"/>
      <c r="C62" s="14" t="s">
        <v>2013</v>
      </c>
      <c r="D62" s="14" t="s">
        <v>13</v>
      </c>
      <c r="E62" s="14" t="s">
        <v>26</v>
      </c>
      <c r="F62" s="141">
        <v>4701.0</v>
      </c>
      <c r="G62" s="150">
        <v>91.67</v>
      </c>
      <c r="H62" s="151">
        <v>2.47</v>
      </c>
      <c r="I62" s="151">
        <v>2.42</v>
      </c>
      <c r="J62" s="150">
        <f>2693/1501</f>
        <v>1.794137242</v>
      </c>
      <c r="K62" s="137" t="s">
        <v>12</v>
      </c>
      <c r="L62" s="152">
        <f t="shared" si="62"/>
        <v>0.4333076923</v>
      </c>
      <c r="M62" s="153">
        <f t="shared" si="63"/>
        <v>138.4697319</v>
      </c>
      <c r="N62" s="150">
        <v>1.833</v>
      </c>
      <c r="O62" s="150">
        <v>1.5</v>
      </c>
      <c r="P62" s="154">
        <v>71.0</v>
      </c>
      <c r="Q62" s="154">
        <v>14.0</v>
      </c>
      <c r="R62" s="150">
        <v>5.633</v>
      </c>
      <c r="S62" s="141" t="s">
        <v>12</v>
      </c>
      <c r="T62" s="137">
        <f t="shared" si="53"/>
        <v>522.5499201</v>
      </c>
      <c r="U62" s="137">
        <f t="shared" si="64"/>
        <v>444.4060844</v>
      </c>
      <c r="V62" s="137">
        <f t="shared" si="55"/>
        <v>424.5845968</v>
      </c>
      <c r="W62" s="141">
        <f t="shared" si="5"/>
        <v>236.6511251</v>
      </c>
      <c r="X62" s="137">
        <f t="shared" si="6"/>
        <v>415.9897669</v>
      </c>
      <c r="Y62" s="137">
        <f t="shared" si="65"/>
        <v>715.7774337</v>
      </c>
      <c r="Z62" s="137">
        <f t="shared" si="66"/>
        <v>211.5586721</v>
      </c>
      <c r="AA62" s="137">
        <f t="shared" si="67"/>
        <v>179.9214917</v>
      </c>
      <c r="AB62" s="155">
        <f t="shared" si="68"/>
        <v>171.8965979</v>
      </c>
      <c r="AC62" s="137" t="s">
        <v>2012</v>
      </c>
      <c r="AD62" s="155" t="s">
        <v>2012</v>
      </c>
      <c r="AE62" s="141" t="s">
        <v>12</v>
      </c>
      <c r="AF62" s="137" t="s">
        <v>12</v>
      </c>
      <c r="AG62" s="139">
        <v>29.4</v>
      </c>
      <c r="AH62" s="128" t="s">
        <v>2168</v>
      </c>
      <c r="AI62" s="128" t="s">
        <v>136</v>
      </c>
    </row>
    <row r="63" ht="37.5" customHeight="1">
      <c r="A63" s="136"/>
      <c r="B63" s="13"/>
      <c r="C63" s="14" t="s">
        <v>2010</v>
      </c>
      <c r="D63" s="14" t="s">
        <v>1998</v>
      </c>
      <c r="E63" s="14" t="s">
        <v>26</v>
      </c>
      <c r="F63" s="141">
        <v>1141.0</v>
      </c>
      <c r="G63" s="150">
        <v>22.271</v>
      </c>
      <c r="H63" s="151">
        <v>1.96</v>
      </c>
      <c r="I63" s="151">
        <v>1.66</v>
      </c>
      <c r="J63" s="150">
        <f>654/386</f>
        <v>1.694300518</v>
      </c>
      <c r="K63" s="137" t="s">
        <v>12</v>
      </c>
      <c r="L63" s="152">
        <f t="shared" si="62"/>
        <v>0.08333333333</v>
      </c>
      <c r="M63" s="153">
        <f t="shared" si="63"/>
        <v>720</v>
      </c>
      <c r="N63" s="150">
        <v>0.983</v>
      </c>
      <c r="O63" s="150">
        <v>0.933</v>
      </c>
      <c r="P63" s="154">
        <v>75.0</v>
      </c>
      <c r="Q63" s="154">
        <v>64.0</v>
      </c>
      <c r="R63" s="150">
        <v>5.25</v>
      </c>
      <c r="S63" s="141" t="s">
        <v>12</v>
      </c>
      <c r="T63" s="137">
        <f t="shared" si="53"/>
        <v>523.81392</v>
      </c>
      <c r="U63" s="137">
        <f t="shared" si="64"/>
        <v>451.8315122</v>
      </c>
      <c r="V63" s="137">
        <f t="shared" si="55"/>
        <v>448.2070014</v>
      </c>
      <c r="W63" s="141">
        <f t="shared" si="5"/>
        <v>264.5380773</v>
      </c>
      <c r="X63" s="137">
        <f t="shared" si="6"/>
        <v>379.603889</v>
      </c>
      <c r="Y63" s="137">
        <f t="shared" si="65"/>
        <v>713.9297237</v>
      </c>
      <c r="Z63" s="137">
        <f t="shared" si="66"/>
        <v>267.252</v>
      </c>
      <c r="AA63" s="137">
        <f t="shared" si="67"/>
        <v>230.5262817</v>
      </c>
      <c r="AB63" s="155">
        <f t="shared" si="68"/>
        <v>228.6770416</v>
      </c>
      <c r="AC63" s="137" t="s">
        <v>2012</v>
      </c>
      <c r="AD63" s="155" t="s">
        <v>2012</v>
      </c>
      <c r="AE63" s="141" t="s">
        <v>12</v>
      </c>
      <c r="AF63" s="137" t="s">
        <v>12</v>
      </c>
      <c r="AG63" s="139">
        <v>24.0</v>
      </c>
      <c r="AH63" s="128" t="s">
        <v>2169</v>
      </c>
      <c r="AI63" s="128" t="s">
        <v>136</v>
      </c>
    </row>
    <row r="64" ht="37.5" customHeight="1">
      <c r="A64" s="136"/>
      <c r="B64" s="13"/>
      <c r="C64" s="14" t="s">
        <v>2016</v>
      </c>
      <c r="D64" s="14" t="s">
        <v>13</v>
      </c>
      <c r="E64" s="14" t="s">
        <v>26</v>
      </c>
      <c r="F64" s="141">
        <v>1892.0</v>
      </c>
      <c r="G64" s="150">
        <f>110.76/3</f>
        <v>36.92</v>
      </c>
      <c r="H64" s="151">
        <v>2.31</v>
      </c>
      <c r="I64" s="151">
        <v>1.52</v>
      </c>
      <c r="J64" s="150">
        <f>1084/655</f>
        <v>1.654961832</v>
      </c>
      <c r="K64" s="137" t="s">
        <v>12</v>
      </c>
      <c r="L64" s="152">
        <f t="shared" si="62"/>
        <v>0.1515227273</v>
      </c>
      <c r="M64" s="153">
        <f t="shared" si="63"/>
        <v>395.980201</v>
      </c>
      <c r="N64" s="150">
        <v>1.317</v>
      </c>
      <c r="O64" s="150">
        <v>1.017</v>
      </c>
      <c r="P64" s="154">
        <v>64.0</v>
      </c>
      <c r="Q64" s="154">
        <v>45.0</v>
      </c>
      <c r="R64" s="150">
        <v>6.667</v>
      </c>
      <c r="S64" s="141" t="s">
        <v>12</v>
      </c>
      <c r="T64" s="137">
        <f t="shared" si="53"/>
        <v>562.8541773</v>
      </c>
      <c r="U64" s="137">
        <f t="shared" si="64"/>
        <v>499.4578345</v>
      </c>
      <c r="V64" s="137">
        <f t="shared" si="55"/>
        <v>480.6906313</v>
      </c>
      <c r="W64" s="141">
        <f t="shared" si="5"/>
        <v>290.4542098</v>
      </c>
      <c r="X64" s="137">
        <f t="shared" si="6"/>
        <v>316.2985972</v>
      </c>
      <c r="Y64" s="137">
        <f t="shared" si="65"/>
        <v>702.0996493</v>
      </c>
      <c r="Z64" s="137">
        <f t="shared" si="66"/>
        <v>243.659817</v>
      </c>
      <c r="AA64" s="137">
        <f t="shared" si="67"/>
        <v>216.2155128</v>
      </c>
      <c r="AB64" s="155">
        <f t="shared" si="68"/>
        <v>208.0911824</v>
      </c>
      <c r="AC64" s="137" t="s">
        <v>2012</v>
      </c>
      <c r="AD64" s="155" t="s">
        <v>2012</v>
      </c>
      <c r="AE64" s="141" t="s">
        <v>12</v>
      </c>
      <c r="AF64" s="137" t="s">
        <v>12</v>
      </c>
      <c r="AG64" s="139">
        <v>34.61</v>
      </c>
      <c r="AH64" s="128" t="s">
        <v>2167</v>
      </c>
      <c r="AI64" s="128" t="s">
        <v>136</v>
      </c>
    </row>
    <row r="65" ht="37.5" customHeight="1">
      <c r="A65" s="136"/>
      <c r="B65" s="13"/>
      <c r="C65" s="14" t="s">
        <v>2016</v>
      </c>
      <c r="D65" s="14" t="s">
        <v>24</v>
      </c>
      <c r="E65" s="14" t="s">
        <v>26</v>
      </c>
      <c r="F65" s="141">
        <v>1650.0</v>
      </c>
      <c r="G65" s="150">
        <f>95.647/3</f>
        <v>31.88233333</v>
      </c>
      <c r="H65" s="151">
        <v>2.31</v>
      </c>
      <c r="I65" s="151">
        <v>1.52</v>
      </c>
      <c r="J65" s="150">
        <f>946/607</f>
        <v>1.558484349</v>
      </c>
      <c r="K65" s="137" t="s">
        <v>12</v>
      </c>
      <c r="L65" s="152">
        <f t="shared" si="62"/>
        <v>0.1304878049</v>
      </c>
      <c r="M65" s="153">
        <f t="shared" si="63"/>
        <v>459.8130841</v>
      </c>
      <c r="N65" s="150">
        <v>1.117</v>
      </c>
      <c r="O65" s="150">
        <v>0.983</v>
      </c>
      <c r="P65" s="154">
        <v>88.0</v>
      </c>
      <c r="Q65" s="154">
        <v>42.0</v>
      </c>
      <c r="R65" s="150">
        <v>5.35</v>
      </c>
      <c r="S65" s="141" t="s">
        <v>12</v>
      </c>
      <c r="T65" s="137">
        <f t="shared" si="53"/>
        <v>564.4066897</v>
      </c>
      <c r="U65" s="137">
        <f t="shared" si="64"/>
        <v>488.4294931</v>
      </c>
      <c r="V65" s="137">
        <f t="shared" si="55"/>
        <v>478.3089501</v>
      </c>
      <c r="W65" s="141">
        <f t="shared" si="5"/>
        <v>306.9064828</v>
      </c>
      <c r="X65" s="137">
        <f t="shared" si="6"/>
        <v>314.7314303</v>
      </c>
      <c r="Y65" s="137">
        <f t="shared" si="65"/>
        <v>698.6209513</v>
      </c>
      <c r="Z65" s="137">
        <f t="shared" si="66"/>
        <v>244.3319003</v>
      </c>
      <c r="AA65" s="137">
        <f t="shared" si="67"/>
        <v>211.441339</v>
      </c>
      <c r="AB65" s="155">
        <f t="shared" si="68"/>
        <v>207.0601515</v>
      </c>
      <c r="AC65" s="137" t="s">
        <v>2012</v>
      </c>
      <c r="AD65" s="155" t="s">
        <v>2012</v>
      </c>
      <c r="AE65" s="141" t="s">
        <v>12</v>
      </c>
      <c r="AF65" s="137" t="s">
        <v>12</v>
      </c>
      <c r="AG65" s="139">
        <v>31.41</v>
      </c>
      <c r="AH65" s="128" t="s">
        <v>2167</v>
      </c>
      <c r="AI65" s="128" t="s">
        <v>136</v>
      </c>
    </row>
    <row r="66" ht="37.5" customHeight="1">
      <c r="A66" s="156"/>
      <c r="B66" s="128"/>
      <c r="C66" s="157" t="s">
        <v>2010</v>
      </c>
      <c r="D66" s="157" t="s">
        <v>2170</v>
      </c>
      <c r="E66" s="157" t="s">
        <v>26</v>
      </c>
      <c r="F66" s="158"/>
      <c r="G66" s="159">
        <v>37.624</v>
      </c>
      <c r="H66" s="160">
        <f>310/182</f>
        <v>1.703296703</v>
      </c>
      <c r="I66" s="160">
        <f>302/182</f>
        <v>1.659340659</v>
      </c>
      <c r="J66" s="159">
        <f>596/352
</f>
        <v>1.693181818</v>
      </c>
      <c r="K66" s="158" t="s">
        <v>12</v>
      </c>
      <c r="L66" s="161">
        <f t="shared" si="62"/>
        <v>0.1245762712</v>
      </c>
      <c r="M66" s="162">
        <f t="shared" si="63"/>
        <v>481.6326531</v>
      </c>
      <c r="N66" s="159">
        <v>2.0</v>
      </c>
      <c r="O66" s="159">
        <v>1.217</v>
      </c>
      <c r="P66" s="163">
        <v>74.0</v>
      </c>
      <c r="Q66" s="163">
        <f>7440/124</f>
        <v>60</v>
      </c>
      <c r="R66" s="159">
        <v>7.35</v>
      </c>
      <c r="S66" s="160" t="s">
        <v>12</v>
      </c>
      <c r="T66" s="137">
        <f t="shared" si="53"/>
        <v>514.4224864</v>
      </c>
      <c r="U66" s="137">
        <f t="shared" si="64"/>
        <v>448.8257395</v>
      </c>
      <c r="V66" s="137">
        <f t="shared" si="55"/>
        <v>411.2395839</v>
      </c>
      <c r="W66" s="141">
        <f t="shared" si="5"/>
        <v>242.8797543</v>
      </c>
      <c r="X66" s="137">
        <f t="shared" si="6"/>
        <v>400.6269495</v>
      </c>
      <c r="Y66" s="137">
        <f t="shared" si="65"/>
        <v>691.6784486</v>
      </c>
      <c r="Z66" s="137">
        <f t="shared" si="66"/>
        <v>302.0157823</v>
      </c>
      <c r="AA66" s="137">
        <f t="shared" si="67"/>
        <v>263.5041438</v>
      </c>
      <c r="AB66" s="155">
        <f t="shared" si="68"/>
        <v>241.4374332</v>
      </c>
      <c r="AC66" s="137" t="s">
        <v>2012</v>
      </c>
      <c r="AD66" s="155" t="s">
        <v>2012</v>
      </c>
      <c r="AE66" s="141" t="s">
        <v>12</v>
      </c>
      <c r="AF66" s="137" t="s">
        <v>12</v>
      </c>
      <c r="AG66" s="160" t="s">
        <v>23</v>
      </c>
      <c r="AH66" s="157" t="s">
        <v>2171</v>
      </c>
      <c r="AI66" s="157" t="s">
        <v>136</v>
      </c>
    </row>
    <row r="67" ht="37.5" customHeight="1">
      <c r="A67" s="156"/>
      <c r="B67" s="13"/>
      <c r="C67" s="157" t="s">
        <v>2016</v>
      </c>
      <c r="D67" s="157" t="s">
        <v>2172</v>
      </c>
      <c r="E67" s="157" t="s">
        <v>26</v>
      </c>
      <c r="F67" s="158"/>
      <c r="G67" s="159">
        <f>111.735/3</f>
        <v>37.245</v>
      </c>
      <c r="H67" s="160">
        <f>226/113</f>
        <v>2</v>
      </c>
      <c r="I67" s="160">
        <f>171/113</f>
        <v>1.513274336</v>
      </c>
      <c r="J67" s="159">
        <f>590/329
</f>
        <v>1.79331307</v>
      </c>
      <c r="K67" s="158" t="s">
        <v>12</v>
      </c>
      <c r="L67" s="161">
        <f t="shared" si="62"/>
        <v>0.1111111111</v>
      </c>
      <c r="M67" s="162">
        <f t="shared" si="63"/>
        <v>540</v>
      </c>
      <c r="N67" s="159">
        <v>2.15</v>
      </c>
      <c r="O67" s="159">
        <v>1.767</v>
      </c>
      <c r="P67" s="163">
        <v>55.0</v>
      </c>
      <c r="Q67" s="163">
        <v>37.0</v>
      </c>
      <c r="R67" s="159">
        <v>4.0</v>
      </c>
      <c r="S67" s="160" t="s">
        <v>12</v>
      </c>
      <c r="T67" s="137">
        <f t="shared" si="53"/>
        <v>670.41</v>
      </c>
      <c r="U67" s="137">
        <f t="shared" si="64"/>
        <v>477.9139934</v>
      </c>
      <c r="V67" s="137">
        <f t="shared" si="55"/>
        <v>448.1512195</v>
      </c>
      <c r="W67" s="141">
        <f t="shared" si="5"/>
        <v>249.9012733</v>
      </c>
      <c r="X67" s="137">
        <f t="shared" si="6"/>
        <v>339.0878696</v>
      </c>
      <c r="Y67" s="137">
        <f t="shared" si="65"/>
        <v>685.5127283</v>
      </c>
      <c r="Z67" s="137">
        <f t="shared" si="66"/>
        <v>335.205</v>
      </c>
      <c r="AA67" s="137">
        <f t="shared" si="67"/>
        <v>238.9569967</v>
      </c>
      <c r="AB67" s="155">
        <f t="shared" si="68"/>
        <v>224.0756098</v>
      </c>
      <c r="AC67" s="137" t="s">
        <v>2012</v>
      </c>
      <c r="AD67" s="155" t="s">
        <v>2012</v>
      </c>
      <c r="AE67" s="141" t="s">
        <v>12</v>
      </c>
      <c r="AF67" s="137" t="s">
        <v>12</v>
      </c>
      <c r="AG67" s="160" t="s">
        <v>23</v>
      </c>
      <c r="AH67" s="157" t="s">
        <v>2173</v>
      </c>
      <c r="AI67" s="157" t="s">
        <v>136</v>
      </c>
    </row>
    <row r="68" ht="37.5" customHeight="1">
      <c r="A68" s="136"/>
      <c r="B68" s="13"/>
      <c r="C68" s="14" t="s">
        <v>2050</v>
      </c>
      <c r="D68" s="14" t="s">
        <v>1998</v>
      </c>
      <c r="E68" s="14" t="s">
        <v>26</v>
      </c>
      <c r="F68" s="141">
        <v>3054.0</v>
      </c>
      <c r="G68" s="150">
        <v>59.523</v>
      </c>
      <c r="H68" s="151">
        <v>2.21</v>
      </c>
      <c r="I68" s="151">
        <v>1.53</v>
      </c>
      <c r="J68" s="150">
        <f>1750/897</f>
        <v>1.950947603</v>
      </c>
      <c r="K68" s="137" t="s">
        <v>12</v>
      </c>
      <c r="L68" s="152">
        <f t="shared" si="62"/>
        <v>0.2333157895</v>
      </c>
      <c r="M68" s="153">
        <f t="shared" si="63"/>
        <v>257.1621926</v>
      </c>
      <c r="N68" s="150">
        <v>1.283</v>
      </c>
      <c r="O68" s="150">
        <v>0.983</v>
      </c>
      <c r="P68" s="154">
        <v>60.0</v>
      </c>
      <c r="Q68" s="154">
        <v>20.0</v>
      </c>
      <c r="R68" s="150">
        <v>4.433</v>
      </c>
      <c r="S68" s="141" t="s">
        <v>12</v>
      </c>
      <c r="T68" s="137">
        <f t="shared" si="53"/>
        <v>563.8102346</v>
      </c>
      <c r="U68" s="137">
        <f t="shared" si="64"/>
        <v>485.7674668</v>
      </c>
      <c r="V68" s="137">
        <f t="shared" si="55"/>
        <v>460.2723233</v>
      </c>
      <c r="W68" s="141">
        <f t="shared" si="5"/>
        <v>235.9224423</v>
      </c>
      <c r="X68" s="137">
        <f t="shared" si="6"/>
        <v>318.65007</v>
      </c>
      <c r="Y68" s="137">
        <f t="shared" si="65"/>
        <v>683.3273723</v>
      </c>
      <c r="Z68" s="137">
        <f t="shared" si="66"/>
        <v>255.1177532</v>
      </c>
      <c r="AA68" s="137">
        <f t="shared" si="67"/>
        <v>219.8042836</v>
      </c>
      <c r="AB68" s="155">
        <f t="shared" si="68"/>
        <v>208.2680196</v>
      </c>
      <c r="AC68" s="137" t="s">
        <v>2012</v>
      </c>
      <c r="AD68" s="155" t="s">
        <v>2012</v>
      </c>
      <c r="AE68" s="141" t="s">
        <v>12</v>
      </c>
      <c r="AF68" s="137" t="s">
        <v>12</v>
      </c>
      <c r="AG68" s="139">
        <v>67.71</v>
      </c>
      <c r="AH68" s="128" t="s">
        <v>2174</v>
      </c>
      <c r="AI68" s="128" t="s">
        <v>136</v>
      </c>
    </row>
    <row r="69" ht="37.5" customHeight="1">
      <c r="A69" s="156"/>
      <c r="B69" s="128"/>
      <c r="C69" s="157" t="s">
        <v>2016</v>
      </c>
      <c r="D69" s="157" t="s">
        <v>2175</v>
      </c>
      <c r="E69" s="157" t="s">
        <v>26</v>
      </c>
      <c r="F69" s="158"/>
      <c r="G69" s="159">
        <f>97.153/3</f>
        <v>32.38433333</v>
      </c>
      <c r="H69" s="160">
        <f>314/157</f>
        <v>2</v>
      </c>
      <c r="I69" s="160">
        <f>237/157</f>
        <v>1.50955414</v>
      </c>
      <c r="J69" s="159">
        <f>513/286
</f>
        <v>1.793706294</v>
      </c>
      <c r="K69" s="158" t="s">
        <v>12</v>
      </c>
      <c r="L69" s="161">
        <f t="shared" si="62"/>
        <v>0.1098813559</v>
      </c>
      <c r="M69" s="162">
        <f t="shared" si="63"/>
        <v>546.0434984</v>
      </c>
      <c r="N69" s="159">
        <v>2.25</v>
      </c>
      <c r="O69" s="159">
        <v>1.333</v>
      </c>
      <c r="P69" s="163">
        <v>52.0</v>
      </c>
      <c r="Q69" s="163">
        <f>6060/101</f>
        <v>60</v>
      </c>
      <c r="R69" s="159">
        <v>6.483</v>
      </c>
      <c r="S69" s="160" t="s">
        <v>12</v>
      </c>
      <c r="T69" s="137">
        <f t="shared" si="53"/>
        <v>589.4418222</v>
      </c>
      <c r="U69" s="137">
        <f t="shared" si="64"/>
        <v>497.2006141</v>
      </c>
      <c r="V69" s="137">
        <f t="shared" si="55"/>
        <v>444.992557</v>
      </c>
      <c r="W69" s="141">
        <f t="shared" si="5"/>
        <v>248.0855191</v>
      </c>
      <c r="X69" s="137">
        <f t="shared" si="6"/>
        <v>335.8701783</v>
      </c>
      <c r="Y69" s="137">
        <f t="shared" si="65"/>
        <v>680.1016818</v>
      </c>
      <c r="Z69" s="137">
        <f t="shared" si="66"/>
        <v>294.7209111</v>
      </c>
      <c r="AA69" s="137">
        <f t="shared" si="67"/>
        <v>248.6003071</v>
      </c>
      <c r="AB69" s="155">
        <f t="shared" si="68"/>
        <v>222.4962785</v>
      </c>
      <c r="AC69" s="137" t="s">
        <v>2012</v>
      </c>
      <c r="AD69" s="155" t="s">
        <v>2012</v>
      </c>
      <c r="AE69" s="141" t="s">
        <v>12</v>
      </c>
      <c r="AF69" s="137" t="s">
        <v>12</v>
      </c>
      <c r="AG69" s="160" t="s">
        <v>23</v>
      </c>
      <c r="AH69" s="157" t="s">
        <v>2173</v>
      </c>
      <c r="AI69" s="157" t="s">
        <v>136</v>
      </c>
    </row>
    <row r="70" ht="37.5" customHeight="1">
      <c r="A70" s="136"/>
      <c r="B70" s="13"/>
      <c r="C70" s="14" t="s">
        <v>2016</v>
      </c>
      <c r="D70" s="14" t="s">
        <v>32</v>
      </c>
      <c r="E70" s="14" t="s">
        <v>26</v>
      </c>
      <c r="F70" s="141">
        <v>1570.0</v>
      </c>
      <c r="G70" s="150">
        <f>122.492/4</f>
        <v>30.623</v>
      </c>
      <c r="H70" s="151">
        <v>2.31</v>
      </c>
      <c r="I70" s="151">
        <v>1.52</v>
      </c>
      <c r="J70" s="150">
        <f>900/461</f>
        <v>1.952277657</v>
      </c>
      <c r="K70" s="137" t="s">
        <v>12</v>
      </c>
      <c r="L70" s="152">
        <f t="shared" si="62"/>
        <v>0.129745098</v>
      </c>
      <c r="M70" s="153">
        <f t="shared" si="63"/>
        <v>462.4452169</v>
      </c>
      <c r="N70" s="152">
        <v>1.333</v>
      </c>
      <c r="O70" s="150">
        <v>0.95</v>
      </c>
      <c r="P70" s="154">
        <v>61.0</v>
      </c>
      <c r="Q70" s="154">
        <v>52.0</v>
      </c>
      <c r="R70" s="150">
        <v>6.617</v>
      </c>
      <c r="S70" s="141" t="s">
        <v>12</v>
      </c>
      <c r="T70" s="137">
        <f t="shared" si="53"/>
        <v>545.2162052</v>
      </c>
      <c r="U70" s="137">
        <f t="shared" si="64"/>
        <v>486.1153377</v>
      </c>
      <c r="V70" s="137">
        <f t="shared" si="55"/>
        <v>462.6961962</v>
      </c>
      <c r="W70" s="141">
        <f t="shared" si="5"/>
        <v>237.0032738</v>
      </c>
      <c r="X70" s="137">
        <f t="shared" si="6"/>
        <v>304.4581031</v>
      </c>
      <c r="Y70" s="137">
        <f t="shared" si="65"/>
        <v>675.8168684</v>
      </c>
      <c r="Z70" s="137">
        <f t="shared" si="66"/>
        <v>236.0243313</v>
      </c>
      <c r="AA70" s="137">
        <f t="shared" si="67"/>
        <v>210.4395401</v>
      </c>
      <c r="AB70" s="155">
        <f t="shared" si="68"/>
        <v>200.3013836</v>
      </c>
      <c r="AC70" s="137" t="s">
        <v>2012</v>
      </c>
      <c r="AD70" s="155" t="s">
        <v>2012</v>
      </c>
      <c r="AE70" s="141" t="s">
        <v>12</v>
      </c>
      <c r="AF70" s="137" t="s">
        <v>12</v>
      </c>
      <c r="AG70" s="139">
        <v>37.27</v>
      </c>
      <c r="AH70" s="128" t="s">
        <v>2167</v>
      </c>
      <c r="AI70" s="128" t="s">
        <v>136</v>
      </c>
    </row>
    <row r="71" ht="37.5" customHeight="1">
      <c r="A71" s="136"/>
      <c r="B71" s="13"/>
      <c r="C71" s="14" t="s">
        <v>2010</v>
      </c>
      <c r="D71" s="14" t="s">
        <v>13</v>
      </c>
      <c r="E71" s="14" t="s">
        <v>26</v>
      </c>
      <c r="F71" s="141">
        <v>1302.0</v>
      </c>
      <c r="G71" s="150">
        <v>25.387</v>
      </c>
      <c r="H71" s="151">
        <v>1.96</v>
      </c>
      <c r="I71" s="151">
        <v>1.66</v>
      </c>
      <c r="J71" s="150">
        <f>746/426</f>
        <v>1.751173709</v>
      </c>
      <c r="K71" s="137" t="s">
        <v>12</v>
      </c>
      <c r="L71" s="152">
        <f t="shared" si="62"/>
        <v>0.1003541667</v>
      </c>
      <c r="M71" s="153">
        <f t="shared" si="63"/>
        <v>597.8824995</v>
      </c>
      <c r="N71" s="150">
        <v>1.183</v>
      </c>
      <c r="O71" s="150">
        <v>0.933</v>
      </c>
      <c r="P71" s="154">
        <v>83.0</v>
      </c>
      <c r="Q71" s="154">
        <v>49.0</v>
      </c>
      <c r="R71" s="152">
        <v>4.817</v>
      </c>
      <c r="S71" s="141" t="s">
        <v>12</v>
      </c>
      <c r="T71" s="137">
        <f t="shared" si="53"/>
        <v>495.8291385</v>
      </c>
      <c r="U71" s="137">
        <f t="shared" si="64"/>
        <v>424.029127</v>
      </c>
      <c r="V71" s="137">
        <f t="shared" si="55"/>
        <v>406.3612467</v>
      </c>
      <c r="W71" s="141">
        <f t="shared" si="5"/>
        <v>232.0507923</v>
      </c>
      <c r="X71" s="137">
        <f t="shared" si="6"/>
        <v>344.1630967</v>
      </c>
      <c r="Y71" s="137">
        <f t="shared" si="65"/>
        <v>647.2754143</v>
      </c>
      <c r="Z71" s="137">
        <f t="shared" si="66"/>
        <v>252.9740502</v>
      </c>
      <c r="AA71" s="137">
        <f t="shared" si="67"/>
        <v>216.3413913</v>
      </c>
      <c r="AB71" s="155">
        <f t="shared" si="68"/>
        <v>207.3271667</v>
      </c>
      <c r="AC71" s="137" t="s">
        <v>2012</v>
      </c>
      <c r="AD71" s="155" t="s">
        <v>2012</v>
      </c>
      <c r="AE71" s="141" t="s">
        <v>12</v>
      </c>
      <c r="AF71" s="137" t="s">
        <v>12</v>
      </c>
      <c r="AG71" s="139">
        <v>25.2</v>
      </c>
      <c r="AH71" s="128" t="s">
        <v>2176</v>
      </c>
      <c r="AI71" s="128" t="s">
        <v>136</v>
      </c>
    </row>
    <row r="72" ht="37.5" customHeight="1">
      <c r="A72" s="136"/>
      <c r="B72" s="13"/>
      <c r="C72" s="14" t="s">
        <v>2010</v>
      </c>
      <c r="D72" s="14" t="s">
        <v>264</v>
      </c>
      <c r="E72" s="14" t="s">
        <v>26</v>
      </c>
      <c r="F72" s="141">
        <v>2129.0</v>
      </c>
      <c r="G72" s="150">
        <v>41.493</v>
      </c>
      <c r="H72" s="151">
        <v>1.96</v>
      </c>
      <c r="I72" s="151">
        <v>1.66</v>
      </c>
      <c r="J72" s="150">
        <f>1169/652</f>
        <v>1.792944785</v>
      </c>
      <c r="K72" s="137" t="s">
        <v>12</v>
      </c>
      <c r="L72" s="152">
        <f t="shared" si="62"/>
        <v>0.1666756757</v>
      </c>
      <c r="M72" s="153">
        <f t="shared" si="63"/>
        <v>359.9805416</v>
      </c>
      <c r="N72" s="150">
        <v>1.45</v>
      </c>
      <c r="O72" s="150">
        <v>1.033</v>
      </c>
      <c r="P72" s="154">
        <v>59.0</v>
      </c>
      <c r="Q72" s="154">
        <v>38.0</v>
      </c>
      <c r="R72" s="150">
        <v>6.167</v>
      </c>
      <c r="S72" s="141" t="s">
        <v>12</v>
      </c>
      <c r="T72" s="137">
        <f t="shared" si="53"/>
        <v>487.9313053</v>
      </c>
      <c r="U72" s="137">
        <f t="shared" si="64"/>
        <v>429.2220333</v>
      </c>
      <c r="V72" s="137">
        <f t="shared" si="55"/>
        <v>405.7238598</v>
      </c>
      <c r="W72" s="141">
        <f t="shared" si="5"/>
        <v>226.2890989</v>
      </c>
      <c r="X72" s="137">
        <f t="shared" si="6"/>
        <v>343.623269</v>
      </c>
      <c r="Y72" s="137">
        <f t="shared" si="65"/>
        <v>646.2601481</v>
      </c>
      <c r="Z72" s="137">
        <f t="shared" si="66"/>
        <v>248.9445435</v>
      </c>
      <c r="AA72" s="137">
        <f t="shared" si="67"/>
        <v>218.9908333</v>
      </c>
      <c r="AB72" s="155">
        <f t="shared" si="68"/>
        <v>207.0019693</v>
      </c>
      <c r="AC72" s="137" t="s">
        <v>2012</v>
      </c>
      <c r="AD72" s="155" t="s">
        <v>2012</v>
      </c>
      <c r="AE72" s="141" t="s">
        <v>12</v>
      </c>
      <c r="AF72" s="137" t="s">
        <v>12</v>
      </c>
      <c r="AG72" s="139">
        <v>35.91</v>
      </c>
      <c r="AH72" s="128" t="s">
        <v>2176</v>
      </c>
      <c r="AI72" s="128" t="s">
        <v>136</v>
      </c>
    </row>
    <row r="73" ht="37.5" customHeight="1">
      <c r="A73" s="136"/>
      <c r="B73" s="13"/>
      <c r="C73" s="14" t="s">
        <v>2050</v>
      </c>
      <c r="D73" s="14" t="s">
        <v>24</v>
      </c>
      <c r="E73" s="14" t="s">
        <v>26</v>
      </c>
      <c r="F73" s="141">
        <v>3604.0</v>
      </c>
      <c r="G73" s="150">
        <v>70.26</v>
      </c>
      <c r="H73" s="151">
        <v>2.21</v>
      </c>
      <c r="I73" s="151">
        <v>1.53</v>
      </c>
      <c r="J73" s="150">
        <f>2065/1218</f>
        <v>1.695402299</v>
      </c>
      <c r="K73" s="137" t="s">
        <v>12</v>
      </c>
      <c r="L73" s="152">
        <f t="shared" si="62"/>
        <v>0.3</v>
      </c>
      <c r="M73" s="153">
        <f t="shared" si="63"/>
        <v>200</v>
      </c>
      <c r="N73" s="150">
        <v>1.383</v>
      </c>
      <c r="O73" s="150">
        <v>1.133</v>
      </c>
      <c r="P73" s="154">
        <v>78.0</v>
      </c>
      <c r="Q73" s="154">
        <v>18.0</v>
      </c>
      <c r="R73" s="150">
        <v>5.1</v>
      </c>
      <c r="S73" s="141" t="s">
        <v>12</v>
      </c>
      <c r="T73" s="137">
        <f t="shared" si="53"/>
        <v>517.582</v>
      </c>
      <c r="U73" s="137">
        <f t="shared" si="64"/>
        <v>448.4105246</v>
      </c>
      <c r="V73" s="137">
        <f t="shared" si="55"/>
        <v>431.1187413</v>
      </c>
      <c r="W73" s="141">
        <f t="shared" si="5"/>
        <v>254.2869864</v>
      </c>
      <c r="X73" s="137">
        <f t="shared" si="6"/>
        <v>298.4668209</v>
      </c>
      <c r="Y73" s="137">
        <f t="shared" si="65"/>
        <v>640.045516</v>
      </c>
      <c r="Z73" s="137">
        <f t="shared" si="66"/>
        <v>234.2</v>
      </c>
      <c r="AA73" s="137">
        <f t="shared" si="67"/>
        <v>202.9006899</v>
      </c>
      <c r="AB73" s="155">
        <f t="shared" si="68"/>
        <v>195.0763535</v>
      </c>
      <c r="AC73" s="137" t="s">
        <v>2012</v>
      </c>
      <c r="AD73" s="155" t="s">
        <v>2012</v>
      </c>
      <c r="AE73" s="141" t="s">
        <v>12</v>
      </c>
      <c r="AF73" s="137" t="s">
        <v>12</v>
      </c>
      <c r="AG73" s="139">
        <v>72.1</v>
      </c>
      <c r="AH73" s="128" t="s">
        <v>2177</v>
      </c>
      <c r="AI73" s="128" t="s">
        <v>136</v>
      </c>
    </row>
    <row r="74" ht="37.5" customHeight="1">
      <c r="A74" s="136"/>
      <c r="B74" s="13"/>
      <c r="C74" s="14" t="s">
        <v>36</v>
      </c>
      <c r="D74" s="14" t="s">
        <v>16</v>
      </c>
      <c r="E74" s="14" t="s">
        <v>26</v>
      </c>
      <c r="F74" s="141">
        <v>1655.0</v>
      </c>
      <c r="G74" s="150">
        <v>32.28</v>
      </c>
      <c r="H74" s="151">
        <v>1.43</v>
      </c>
      <c r="I74" s="151">
        <v>1.33</v>
      </c>
      <c r="J74" s="150">
        <v>1.752</v>
      </c>
      <c r="K74" s="137" t="s">
        <v>12</v>
      </c>
      <c r="L74" s="152">
        <f t="shared" si="62"/>
        <v>0.08332352941</v>
      </c>
      <c r="M74" s="153">
        <f t="shared" si="63"/>
        <v>720.0847158</v>
      </c>
      <c r="N74" s="150">
        <v>1.5</v>
      </c>
      <c r="O74" s="150">
        <v>1.1</v>
      </c>
      <c r="P74" s="154">
        <v>49.0</v>
      </c>
      <c r="Q74" s="154">
        <v>35.0</v>
      </c>
      <c r="R74" s="150">
        <v>2.833</v>
      </c>
      <c r="S74" s="141" t="s">
        <v>12</v>
      </c>
      <c r="T74" s="137">
        <f t="shared" si="53"/>
        <v>553.9899753</v>
      </c>
      <c r="U74" s="137">
        <f t="shared" si="64"/>
        <v>410.7841342</v>
      </c>
      <c r="V74" s="137">
        <f t="shared" si="55"/>
        <v>372.8626817</v>
      </c>
      <c r="W74" s="141">
        <f t="shared" si="5"/>
        <v>212.8211654</v>
      </c>
      <c r="X74" s="137">
        <f t="shared" si="6"/>
        <v>346.7883683</v>
      </c>
      <c r="Y74" s="137">
        <f t="shared" si="65"/>
        <v>615.6145396</v>
      </c>
      <c r="Z74" s="137">
        <f t="shared" si="66"/>
        <v>387.4055771</v>
      </c>
      <c r="AA74" s="137">
        <f t="shared" si="67"/>
        <v>287.2616323</v>
      </c>
      <c r="AB74" s="155">
        <f t="shared" si="68"/>
        <v>260.7431341</v>
      </c>
      <c r="AC74" s="137" t="s">
        <v>2012</v>
      </c>
      <c r="AD74" s="155" t="s">
        <v>2012</v>
      </c>
      <c r="AE74" s="141" t="s">
        <v>12</v>
      </c>
      <c r="AF74" s="137" t="s">
        <v>12</v>
      </c>
      <c r="AG74" s="139">
        <v>18.42</v>
      </c>
      <c r="AH74" s="128" t="s">
        <v>2178</v>
      </c>
      <c r="AI74" s="128" t="s">
        <v>136</v>
      </c>
    </row>
    <row r="75" ht="37.5" customHeight="1">
      <c r="A75" s="136"/>
      <c r="B75" s="13"/>
      <c r="C75" s="128" t="s">
        <v>2099</v>
      </c>
      <c r="D75" s="14" t="s">
        <v>40</v>
      </c>
      <c r="E75" s="14" t="s">
        <v>37</v>
      </c>
      <c r="F75" s="138">
        <v>22526.0</v>
      </c>
      <c r="G75" s="152">
        <v>439.061</v>
      </c>
      <c r="H75" s="139">
        <v>1.25</v>
      </c>
      <c r="I75" s="139">
        <v>1.05</v>
      </c>
      <c r="J75" s="152" t="s">
        <v>12</v>
      </c>
      <c r="K75" s="154">
        <v>20.0</v>
      </c>
      <c r="L75" s="152">
        <v>0.683</v>
      </c>
      <c r="M75" s="153">
        <f t="shared" si="63"/>
        <v>87.8477306</v>
      </c>
      <c r="N75" s="150">
        <v>1.567</v>
      </c>
      <c r="O75" s="152">
        <v>1.567</v>
      </c>
      <c r="P75" s="154">
        <v>95.0</v>
      </c>
      <c r="Q75" s="154">
        <v>1.0</v>
      </c>
      <c r="R75" s="150">
        <v>0.0</v>
      </c>
      <c r="S75" s="141">
        <v>7.0</v>
      </c>
      <c r="T75" s="137">
        <f t="shared" si="53"/>
        <v>803.5523426</v>
      </c>
      <c r="U75" s="137">
        <f t="shared" si="64"/>
        <v>350.2401085</v>
      </c>
      <c r="V75" s="137">
        <f t="shared" si="55"/>
        <v>350.2401085</v>
      </c>
      <c r="W75" s="141">
        <f t="shared" si="5"/>
        <v>350.2401085</v>
      </c>
      <c r="X75" s="137">
        <f t="shared" si="6"/>
        <v>294.2016911</v>
      </c>
      <c r="Y75" s="137">
        <f t="shared" si="65"/>
        <v>556.1812923</v>
      </c>
      <c r="Z75" s="137">
        <f t="shared" si="66"/>
        <v>642.8418741</v>
      </c>
      <c r="AA75" s="137">
        <f t="shared" si="67"/>
        <v>280.1920868</v>
      </c>
      <c r="AB75" s="155">
        <f t="shared" si="68"/>
        <v>280.1920868</v>
      </c>
      <c r="AC75" s="137">
        <f t="shared" ref="AC75:AC80" si="69">AD75*H75</f>
        <v>10976.525</v>
      </c>
      <c r="AD75" s="155">
        <f t="shared" ref="AD75:AD82" si="70">K75*G75</f>
        <v>8781.22</v>
      </c>
      <c r="AE75" s="137">
        <f t="shared" ref="AE75:AE84" si="71">AF75*H75</f>
        <v>3841.78375</v>
      </c>
      <c r="AF75" s="137">
        <f t="shared" ref="AF75:AF82" si="72">S75*G75</f>
        <v>3073.427</v>
      </c>
      <c r="AG75" s="139" t="s">
        <v>12</v>
      </c>
      <c r="AH75" s="128" t="s">
        <v>2179</v>
      </c>
      <c r="AI75" s="128" t="s">
        <v>136</v>
      </c>
    </row>
    <row r="76" ht="37.5" customHeight="1">
      <c r="A76" s="136"/>
      <c r="B76" s="13"/>
      <c r="C76" s="14" t="s">
        <v>2024</v>
      </c>
      <c r="D76" s="14" t="s">
        <v>2180</v>
      </c>
      <c r="E76" s="14" t="s">
        <v>37</v>
      </c>
      <c r="F76" s="138">
        <v>39907.0</v>
      </c>
      <c r="G76" s="152">
        <v>807.796</v>
      </c>
      <c r="H76" s="139">
        <v>1.39</v>
      </c>
      <c r="I76" s="139">
        <v>1.3</v>
      </c>
      <c r="J76" s="152" t="s">
        <v>12</v>
      </c>
      <c r="K76" s="154">
        <v>23.0</v>
      </c>
      <c r="L76" s="152">
        <f>2.517/2</f>
        <v>1.2585</v>
      </c>
      <c r="M76" s="153">
        <f t="shared" si="63"/>
        <v>47.67580453</v>
      </c>
      <c r="N76" s="152">
        <v>2.633</v>
      </c>
      <c r="O76" s="152">
        <v>2.117</v>
      </c>
      <c r="P76" s="138">
        <v>30.0</v>
      </c>
      <c r="Q76" s="138">
        <v>7.0</v>
      </c>
      <c r="R76" s="152">
        <v>7.4</v>
      </c>
      <c r="S76" s="141">
        <v>9.0</v>
      </c>
      <c r="T76" s="137">
        <f t="shared" si="53"/>
        <v>892.2021772</v>
      </c>
      <c r="U76" s="137">
        <f t="shared" si="64"/>
        <v>825.8752842</v>
      </c>
      <c r="V76" s="137">
        <f t="shared" si="55"/>
        <v>783.4002871</v>
      </c>
      <c r="W76" s="141">
        <f t="shared" si="5"/>
        <v>783.4002871</v>
      </c>
      <c r="X76" s="137">
        <f t="shared" si="6"/>
        <v>732.6765275</v>
      </c>
      <c r="Y76" s="141" t="s">
        <v>12</v>
      </c>
      <c r="Z76" s="137">
        <f t="shared" si="66"/>
        <v>641.8720699</v>
      </c>
      <c r="AA76" s="137">
        <f t="shared" si="67"/>
        <v>594.1548807</v>
      </c>
      <c r="AB76" s="155">
        <f t="shared" si="68"/>
        <v>563.5973288</v>
      </c>
      <c r="AC76" s="137">
        <f t="shared" si="69"/>
        <v>25825.23812</v>
      </c>
      <c r="AD76" s="155">
        <f t="shared" si="70"/>
        <v>18579.308</v>
      </c>
      <c r="AE76" s="137">
        <f t="shared" si="71"/>
        <v>10105.52796</v>
      </c>
      <c r="AF76" s="137">
        <f t="shared" si="72"/>
        <v>7270.164</v>
      </c>
      <c r="AG76" s="139">
        <v>17.21</v>
      </c>
      <c r="AH76" s="128" t="s">
        <v>2181</v>
      </c>
      <c r="AI76" s="128" t="s">
        <v>167</v>
      </c>
    </row>
    <row r="77" ht="37.5" customHeight="1">
      <c r="A77" s="136"/>
      <c r="B77" s="13"/>
      <c r="C77" s="128" t="s">
        <v>2099</v>
      </c>
      <c r="D77" s="14" t="s">
        <v>2182</v>
      </c>
      <c r="E77" s="14" t="s">
        <v>37</v>
      </c>
      <c r="F77" s="138">
        <v>39706.0</v>
      </c>
      <c r="G77" s="152">
        <v>783.868</v>
      </c>
      <c r="H77" s="139">
        <v>1.25</v>
      </c>
      <c r="I77" s="139">
        <v>1.05</v>
      </c>
      <c r="J77" s="152" t="s">
        <v>12</v>
      </c>
      <c r="K77" s="154">
        <v>20.0</v>
      </c>
      <c r="L77" s="152">
        <v>0.667</v>
      </c>
      <c r="M77" s="153">
        <f t="shared" si="63"/>
        <v>89.95502249</v>
      </c>
      <c r="N77" s="150">
        <v>1.95</v>
      </c>
      <c r="O77" s="152">
        <v>1.633</v>
      </c>
      <c r="P77" s="154">
        <v>48.0</v>
      </c>
      <c r="Q77" s="154">
        <v>1.0</v>
      </c>
      <c r="R77" s="150">
        <v>0.0</v>
      </c>
      <c r="S77" s="141">
        <v>7.0</v>
      </c>
      <c r="T77" s="137">
        <f t="shared" si="53"/>
        <v>1469.017991</v>
      </c>
      <c r="U77" s="137">
        <f t="shared" si="64"/>
        <v>600.0214329</v>
      </c>
      <c r="V77" s="137">
        <f t="shared" si="55"/>
        <v>502.4794872</v>
      </c>
      <c r="W77" s="141">
        <f t="shared" si="5"/>
        <v>502.4794872</v>
      </c>
      <c r="X77" s="137">
        <f t="shared" si="6"/>
        <v>422.0827692</v>
      </c>
      <c r="Y77" s="141" t="s">
        <v>12</v>
      </c>
      <c r="Z77" s="137">
        <f t="shared" si="66"/>
        <v>1175.214393</v>
      </c>
      <c r="AA77" s="137">
        <f t="shared" si="67"/>
        <v>480.0171464</v>
      </c>
      <c r="AB77" s="155">
        <f t="shared" si="68"/>
        <v>401.9835897</v>
      </c>
      <c r="AC77" s="137">
        <f t="shared" si="69"/>
        <v>19596.7</v>
      </c>
      <c r="AD77" s="155">
        <f t="shared" si="70"/>
        <v>15677.36</v>
      </c>
      <c r="AE77" s="137">
        <f t="shared" si="71"/>
        <v>6858.845</v>
      </c>
      <c r="AF77" s="137">
        <f t="shared" si="72"/>
        <v>5487.076</v>
      </c>
      <c r="AG77" s="139" t="s">
        <v>12</v>
      </c>
      <c r="AH77" s="128" t="s">
        <v>2183</v>
      </c>
      <c r="AI77" s="128" t="s">
        <v>167</v>
      </c>
    </row>
    <row r="78" ht="37.5" customHeight="1">
      <c r="A78" s="136"/>
      <c r="B78" s="13"/>
      <c r="C78" s="128" t="s">
        <v>2099</v>
      </c>
      <c r="D78" s="14" t="s">
        <v>2184</v>
      </c>
      <c r="E78" s="14" t="s">
        <v>37</v>
      </c>
      <c r="F78" s="138">
        <v>30019.0</v>
      </c>
      <c r="G78" s="152">
        <v>599.069</v>
      </c>
      <c r="H78" s="139">
        <v>1.25</v>
      </c>
      <c r="I78" s="139">
        <v>1.05</v>
      </c>
      <c r="J78" s="152" t="s">
        <v>12</v>
      </c>
      <c r="K78" s="154">
        <v>20.0</v>
      </c>
      <c r="L78" s="152">
        <v>0.667</v>
      </c>
      <c r="M78" s="153">
        <f t="shared" si="63"/>
        <v>89.95502249</v>
      </c>
      <c r="N78" s="152">
        <v>1.633</v>
      </c>
      <c r="O78" s="152">
        <v>1.533</v>
      </c>
      <c r="P78" s="154">
        <v>81.0</v>
      </c>
      <c r="Q78" s="154">
        <v>1.0</v>
      </c>
      <c r="R78" s="150">
        <v>0.0</v>
      </c>
      <c r="S78" s="141">
        <v>7.0</v>
      </c>
      <c r="T78" s="137">
        <f t="shared" si="53"/>
        <v>1122.693028</v>
      </c>
      <c r="U78" s="137">
        <f t="shared" si="64"/>
        <v>488.4776582</v>
      </c>
      <c r="V78" s="137">
        <f t="shared" si="55"/>
        <v>458.5647581</v>
      </c>
      <c r="W78" s="141">
        <f t="shared" si="5"/>
        <v>458.5647581</v>
      </c>
      <c r="X78" s="137">
        <f t="shared" si="6"/>
        <v>385.1943968</v>
      </c>
      <c r="Y78" s="141" t="s">
        <v>12</v>
      </c>
      <c r="Z78" s="137">
        <f t="shared" si="66"/>
        <v>898.1544228</v>
      </c>
      <c r="AA78" s="137">
        <f t="shared" si="67"/>
        <v>390.7821265</v>
      </c>
      <c r="AB78" s="155">
        <f t="shared" si="68"/>
        <v>366.8518065</v>
      </c>
      <c r="AC78" s="137">
        <f t="shared" si="69"/>
        <v>14976.725</v>
      </c>
      <c r="AD78" s="155">
        <f t="shared" si="70"/>
        <v>11981.38</v>
      </c>
      <c r="AE78" s="137">
        <f t="shared" si="71"/>
        <v>5241.85375</v>
      </c>
      <c r="AF78" s="137">
        <f t="shared" si="72"/>
        <v>4193.483</v>
      </c>
      <c r="AG78" s="139" t="s">
        <v>12</v>
      </c>
      <c r="AH78" s="128" t="s">
        <v>2183</v>
      </c>
      <c r="AI78" s="128" t="s">
        <v>167</v>
      </c>
    </row>
    <row r="79" ht="37.5" customHeight="1">
      <c r="A79" s="136"/>
      <c r="B79" s="13"/>
      <c r="C79" s="14" t="s">
        <v>2041</v>
      </c>
      <c r="D79" s="14" t="s">
        <v>2185</v>
      </c>
      <c r="E79" s="14" t="s">
        <v>9</v>
      </c>
      <c r="F79" s="138">
        <v>71369.0</v>
      </c>
      <c r="G79" s="152">
        <v>1363.335</v>
      </c>
      <c r="H79" s="139">
        <v>1.32</v>
      </c>
      <c r="I79" s="139">
        <v>1.25</v>
      </c>
      <c r="J79" s="152">
        <f>41778/12141</f>
        <v>3.441067457</v>
      </c>
      <c r="K79" s="138">
        <v>21.0</v>
      </c>
      <c r="L79" s="152">
        <f t="shared" ref="L79:L80" si="73">R79/(Q79-1)</f>
        <v>1.38</v>
      </c>
      <c r="M79" s="153">
        <f t="shared" si="63"/>
        <v>43.47826087</v>
      </c>
      <c r="N79" s="150">
        <v>2.8</v>
      </c>
      <c r="O79" s="150">
        <v>1.683</v>
      </c>
      <c r="P79" s="154">
        <v>25.0</v>
      </c>
      <c r="Q79" s="154">
        <v>6.0</v>
      </c>
      <c r="R79" s="150">
        <v>6.9</v>
      </c>
      <c r="S79" s="141">
        <v>5.0</v>
      </c>
      <c r="T79" s="137">
        <f t="shared" si="53"/>
        <v>1304.059565</v>
      </c>
      <c r="U79" s="137">
        <f t="shared" si="64"/>
        <v>1258.023209</v>
      </c>
      <c r="V79" s="137">
        <f t="shared" si="55"/>
        <v>1113.156</v>
      </c>
      <c r="W79" s="141">
        <f t="shared" si="5"/>
        <v>323.4914787</v>
      </c>
      <c r="X79" s="137">
        <f t="shared" si="6"/>
        <v>1054.125</v>
      </c>
      <c r="Y79" s="141" t="s">
        <v>12</v>
      </c>
      <c r="Z79" s="137">
        <f t="shared" si="66"/>
        <v>987.923913</v>
      </c>
      <c r="AA79" s="137">
        <f t="shared" si="67"/>
        <v>953.0478854</v>
      </c>
      <c r="AB79" s="155">
        <f t="shared" si="68"/>
        <v>843.3</v>
      </c>
      <c r="AC79" s="137">
        <f t="shared" si="69"/>
        <v>37791.6462</v>
      </c>
      <c r="AD79" s="155">
        <f t="shared" si="70"/>
        <v>28630.035</v>
      </c>
      <c r="AE79" s="137">
        <f t="shared" si="71"/>
        <v>8998.011</v>
      </c>
      <c r="AF79" s="137">
        <f t="shared" si="72"/>
        <v>6816.675</v>
      </c>
      <c r="AG79" s="139" t="s">
        <v>12</v>
      </c>
      <c r="AH79" s="128" t="s">
        <v>2186</v>
      </c>
      <c r="AI79" s="128" t="s">
        <v>167</v>
      </c>
    </row>
    <row r="80" ht="37.5" customHeight="1">
      <c r="A80" s="136"/>
      <c r="B80" s="13"/>
      <c r="C80" s="14" t="s">
        <v>2041</v>
      </c>
      <c r="D80" s="14" t="s">
        <v>2187</v>
      </c>
      <c r="E80" s="14" t="s">
        <v>9</v>
      </c>
      <c r="F80" s="138">
        <v>49646.0</v>
      </c>
      <c r="G80" s="152">
        <v>948.389</v>
      </c>
      <c r="H80" s="139">
        <v>1.32</v>
      </c>
      <c r="I80" s="139">
        <v>1.25</v>
      </c>
      <c r="J80" s="152">
        <f>29333/8525</f>
        <v>3.440821114</v>
      </c>
      <c r="K80" s="154">
        <v>21.0</v>
      </c>
      <c r="L80" s="152">
        <f t="shared" si="73"/>
        <v>0.98</v>
      </c>
      <c r="M80" s="153">
        <f t="shared" si="63"/>
        <v>61.2244898</v>
      </c>
      <c r="N80" s="150">
        <v>2.483</v>
      </c>
      <c r="O80" s="150">
        <v>1.683</v>
      </c>
      <c r="P80" s="154">
        <v>25.0</v>
      </c>
      <c r="Q80" s="154">
        <v>6.0</v>
      </c>
      <c r="R80" s="150">
        <v>4.9</v>
      </c>
      <c r="S80" s="141">
        <v>7.0</v>
      </c>
      <c r="T80" s="137">
        <f t="shared" si="53"/>
        <v>1277.421918</v>
      </c>
      <c r="U80" s="137">
        <f t="shared" si="64"/>
        <v>1141.005754</v>
      </c>
      <c r="V80" s="137">
        <f t="shared" si="55"/>
        <v>1017.369752</v>
      </c>
      <c r="W80" s="141">
        <f t="shared" si="5"/>
        <v>295.6764442</v>
      </c>
      <c r="X80" s="137">
        <f t="shared" si="6"/>
        <v>963.4183259</v>
      </c>
      <c r="Y80" s="141" t="s">
        <v>12</v>
      </c>
      <c r="Z80" s="137">
        <f t="shared" si="66"/>
        <v>967.7438776</v>
      </c>
      <c r="AA80" s="137">
        <f t="shared" si="67"/>
        <v>864.3982986</v>
      </c>
      <c r="AB80" s="155">
        <f t="shared" si="68"/>
        <v>770.7346607</v>
      </c>
      <c r="AC80" s="137">
        <f t="shared" si="69"/>
        <v>26289.34308</v>
      </c>
      <c r="AD80" s="155">
        <f t="shared" si="70"/>
        <v>19916.169</v>
      </c>
      <c r="AE80" s="137">
        <f t="shared" si="71"/>
        <v>8763.11436</v>
      </c>
      <c r="AF80" s="137">
        <f t="shared" si="72"/>
        <v>6638.723</v>
      </c>
      <c r="AG80" s="139" t="s">
        <v>12</v>
      </c>
      <c r="AH80" s="128" t="s">
        <v>2186</v>
      </c>
      <c r="AI80" s="128" t="s">
        <v>167</v>
      </c>
    </row>
    <row r="81" ht="37.5" customHeight="1">
      <c r="A81" s="136"/>
      <c r="B81" s="13"/>
      <c r="C81" s="14" t="s">
        <v>1999</v>
      </c>
      <c r="D81" s="14" t="s">
        <v>2188</v>
      </c>
      <c r="E81" s="14" t="s">
        <v>9</v>
      </c>
      <c r="F81" s="138">
        <v>104203.0</v>
      </c>
      <c r="G81" s="152">
        <v>2061.981</v>
      </c>
      <c r="H81" s="139">
        <v>1.28</v>
      </c>
      <c r="I81" s="139">
        <v>1.06</v>
      </c>
      <c r="J81" s="152" t="s">
        <v>12</v>
      </c>
      <c r="K81" s="154">
        <v>11.0</v>
      </c>
      <c r="L81" s="152">
        <v>1.417</v>
      </c>
      <c r="M81" s="153">
        <f t="shared" si="63"/>
        <v>42.34297812</v>
      </c>
      <c r="N81" s="150">
        <v>2.717</v>
      </c>
      <c r="O81" s="150">
        <v>2.183</v>
      </c>
      <c r="P81" s="154">
        <v>39.0</v>
      </c>
      <c r="Q81" s="154">
        <v>1.0</v>
      </c>
      <c r="R81" s="150">
        <v>0.0</v>
      </c>
      <c r="S81" s="141">
        <v>3.0</v>
      </c>
      <c r="T81" s="137">
        <f>Z81/1.247*H81+Z81/1.247*0.247*6</f>
        <v>3223.087009</v>
      </c>
      <c r="U81" s="137">
        <f>AA81/1.247*H81+AA81/1.247*0.247*6</f>
        <v>2092.127481</v>
      </c>
      <c r="V81" s="137">
        <f>AB81/1.247*H81+AB81/1.247*0.247*6</f>
        <v>1680.940115</v>
      </c>
      <c r="W81" s="141">
        <f t="shared" si="5"/>
        <v>1680.940115</v>
      </c>
      <c r="X81" s="137">
        <f t="shared" si="6"/>
        <v>804.4533898</v>
      </c>
      <c r="Y81" s="141" t="s">
        <v>12</v>
      </c>
      <c r="Z81" s="137">
        <f t="shared" si="66"/>
        <v>1455.173606</v>
      </c>
      <c r="AA81" s="137">
        <f t="shared" si="67"/>
        <v>944.5629867</v>
      </c>
      <c r="AB81" s="155">
        <f t="shared" si="68"/>
        <v>758.9182922</v>
      </c>
      <c r="AC81" s="137">
        <f>AD81/1.247*H81+AD81/1.247*0.247*6</f>
        <v>50238.25721</v>
      </c>
      <c r="AD81" s="155">
        <f t="shared" si="70"/>
        <v>22681.791</v>
      </c>
      <c r="AE81" s="137">
        <f t="shared" si="71"/>
        <v>7918.00704</v>
      </c>
      <c r="AF81" s="137">
        <f t="shared" si="72"/>
        <v>6185.943</v>
      </c>
      <c r="AG81" s="139" t="s">
        <v>12</v>
      </c>
      <c r="AH81" s="128" t="s">
        <v>2189</v>
      </c>
      <c r="AI81" s="128" t="s">
        <v>167</v>
      </c>
    </row>
    <row r="82" ht="37.5" customHeight="1">
      <c r="A82" s="136"/>
      <c r="B82" s="13"/>
      <c r="C82" s="14" t="s">
        <v>42</v>
      </c>
      <c r="D82" s="14" t="s">
        <v>2190</v>
      </c>
      <c r="E82" s="14" t="s">
        <v>37</v>
      </c>
      <c r="F82" s="138">
        <v>36209.0</v>
      </c>
      <c r="G82" s="152">
        <v>655.941</v>
      </c>
      <c r="H82" s="139">
        <v>1.39</v>
      </c>
      <c r="I82" s="139">
        <v>1.25</v>
      </c>
      <c r="J82" s="152">
        <f>20993/18948</f>
        <v>1.107926958</v>
      </c>
      <c r="K82" s="154">
        <v>18.0</v>
      </c>
      <c r="L82" s="152">
        <f>R82/(Q82-1)</f>
        <v>0.8334</v>
      </c>
      <c r="M82" s="153">
        <f t="shared" si="63"/>
        <v>71.99424046</v>
      </c>
      <c r="N82" s="152">
        <v>3.367</v>
      </c>
      <c r="O82" s="152">
        <v>2.633</v>
      </c>
      <c r="P82" s="138">
        <v>57.0</v>
      </c>
      <c r="Q82" s="138">
        <v>6.0</v>
      </c>
      <c r="R82" s="152">
        <v>4.167</v>
      </c>
      <c r="S82" s="141">
        <v>7.0</v>
      </c>
      <c r="T82" s="137">
        <f t="shared" ref="T82:T94" si="74">Z82*H82</f>
        <v>1094.022066</v>
      </c>
      <c r="U82" s="137">
        <f>AA82*H82</f>
        <v>804.4923441</v>
      </c>
      <c r="V82" s="137">
        <f t="shared" ref="V82:V95" si="75">AB82*H82</f>
        <v>726.1146722</v>
      </c>
      <c r="W82" s="141">
        <f t="shared" si="5"/>
        <v>655.3813561</v>
      </c>
      <c r="X82" s="137">
        <f t="shared" si="6"/>
        <v>652.9808203</v>
      </c>
      <c r="Y82" s="141" t="s">
        <v>12</v>
      </c>
      <c r="Z82" s="137">
        <f t="shared" si="66"/>
        <v>787.0662347</v>
      </c>
      <c r="AA82" s="137">
        <f t="shared" si="67"/>
        <v>578.7714706</v>
      </c>
      <c r="AB82" s="155">
        <f t="shared" si="68"/>
        <v>522.3846562</v>
      </c>
      <c r="AC82" s="137">
        <f t="shared" ref="AC82:AC84" si="76">AD82*H82</f>
        <v>16411.64382</v>
      </c>
      <c r="AD82" s="155">
        <f t="shared" si="70"/>
        <v>11806.938</v>
      </c>
      <c r="AE82" s="137">
        <f t="shared" si="71"/>
        <v>6382.30593</v>
      </c>
      <c r="AF82" s="137">
        <f t="shared" si="72"/>
        <v>4591.587</v>
      </c>
      <c r="AG82" s="139">
        <v>5.68</v>
      </c>
      <c r="AH82" s="128" t="s">
        <v>2191</v>
      </c>
      <c r="AI82" s="128" t="s">
        <v>167</v>
      </c>
    </row>
    <row r="83" ht="37.5" customHeight="1">
      <c r="A83" s="136"/>
      <c r="B83" s="13"/>
      <c r="C83" s="14" t="s">
        <v>21</v>
      </c>
      <c r="D83" s="14" t="s">
        <v>2192</v>
      </c>
      <c r="E83" s="14" t="s">
        <v>9</v>
      </c>
      <c r="F83" s="138">
        <f>89797+20502*1.17*2</f>
        <v>137771.68</v>
      </c>
      <c r="G83" s="152">
        <f>1498.879+399.632*2+75.8101*5</f>
        <v>2677.1935</v>
      </c>
      <c r="H83" s="139">
        <v>1.49</v>
      </c>
      <c r="I83" s="139">
        <v>1.18</v>
      </c>
      <c r="J83" s="152" t="s">
        <v>12</v>
      </c>
      <c r="K83" s="154">
        <v>77.0</v>
      </c>
      <c r="L83" s="152">
        <f>R83</f>
        <v>2.75</v>
      </c>
      <c r="M83" s="164" t="s">
        <v>12</v>
      </c>
      <c r="N83" s="150" t="s">
        <v>12</v>
      </c>
      <c r="O83" s="150" t="s">
        <v>12</v>
      </c>
      <c r="P83" s="154" t="s">
        <v>12</v>
      </c>
      <c r="Q83" s="154" t="s">
        <v>12</v>
      </c>
      <c r="R83" s="150">
        <v>2.75</v>
      </c>
      <c r="S83" s="141" t="s">
        <v>23</v>
      </c>
      <c r="T83" s="137">
        <f t="shared" si="74"/>
        <v>1450.552115</v>
      </c>
      <c r="U83" s="137" t="s">
        <v>12</v>
      </c>
      <c r="V83" s="137">
        <f t="shared" si="75"/>
        <v>1450.552115</v>
      </c>
      <c r="W83" s="141">
        <f t="shared" si="5"/>
        <v>1450.552115</v>
      </c>
      <c r="X83" s="137">
        <f t="shared" si="6"/>
        <v>1148.759393</v>
      </c>
      <c r="Y83" s="141" t="s">
        <v>12</v>
      </c>
      <c r="Z83" s="137">
        <f>AB83</f>
        <v>973.5249091</v>
      </c>
      <c r="AA83" s="137" t="s">
        <v>12</v>
      </c>
      <c r="AB83" s="155">
        <f>G83/L83</f>
        <v>973.5249091</v>
      </c>
      <c r="AC83" s="137">
        <f t="shared" si="76"/>
        <v>38394.30128</v>
      </c>
      <c r="AD83" s="155">
        <f>K83/8*G83</f>
        <v>25767.98744</v>
      </c>
      <c r="AE83" s="137" t="str">
        <f t="shared" si="71"/>
        <v>#VALUE!</v>
      </c>
      <c r="AF83" s="137" t="str">
        <f>S83/8*G83</f>
        <v>#VALUE!</v>
      </c>
      <c r="AG83" s="139" t="s">
        <v>12</v>
      </c>
      <c r="AH83" s="128" t="s">
        <v>2193</v>
      </c>
      <c r="AI83" s="128" t="s">
        <v>167</v>
      </c>
    </row>
    <row r="84" ht="37.5" customHeight="1">
      <c r="A84" s="156"/>
      <c r="B84" s="128"/>
      <c r="C84" s="157" t="s">
        <v>2002</v>
      </c>
      <c r="D84" s="157" t="s">
        <v>2137</v>
      </c>
      <c r="E84" s="157" t="s">
        <v>9</v>
      </c>
      <c r="F84" s="158"/>
      <c r="G84" s="159">
        <v>52.206</v>
      </c>
      <c r="H84" s="160">
        <f>257/132</f>
        <v>1.946969697</v>
      </c>
      <c r="I84" s="160">
        <f>205/132</f>
        <v>1.553030303</v>
      </c>
      <c r="J84" s="159">
        <f>827/634
</f>
        <v>1.304416404</v>
      </c>
      <c r="K84" s="158">
        <v>432.0</v>
      </c>
      <c r="L84" s="161">
        <f t="shared" ref="L84:L91" si="77">R84/(Q84-1)</f>
        <v>0.06696396396</v>
      </c>
      <c r="M84" s="162">
        <f t="shared" ref="M84:M95" si="78">60/L84</f>
        <v>896.0043051</v>
      </c>
      <c r="N84" s="159">
        <v>4.183</v>
      </c>
      <c r="O84" s="159">
        <v>2.15</v>
      </c>
      <c r="P84" s="163">
        <v>61.0</v>
      </c>
      <c r="Q84" s="163">
        <v>112.0</v>
      </c>
      <c r="R84" s="159">
        <v>7.433</v>
      </c>
      <c r="S84" s="158">
        <v>108.0</v>
      </c>
      <c r="T84" s="137">
        <f t="shared" si="74"/>
        <v>1517.88356</v>
      </c>
      <c r="U84" s="137">
        <f t="shared" ref="U84:U94" si="79">AA84*H84</f>
        <v>1187.944485</v>
      </c>
      <c r="V84" s="137">
        <f t="shared" si="75"/>
        <v>980.0337466</v>
      </c>
      <c r="W84" s="141">
        <f t="shared" si="5"/>
        <v>751.3197041</v>
      </c>
      <c r="X84" s="137">
        <f t="shared" si="6"/>
        <v>781.7389807</v>
      </c>
      <c r="Y84" s="137">
        <f t="shared" ref="Y84:Y95" si="80">SUM(X84*0.7,V84)</f>
        <v>1527.251033</v>
      </c>
      <c r="Z84" s="137">
        <f t="shared" ref="Z84:Z94" si="81">G84/L84</f>
        <v>779.6133459</v>
      </c>
      <c r="AA84" s="137">
        <f t="shared" ref="AA84:AA94" si="82">(G84*Q84)/(R84+O84)</f>
        <v>610.1504748</v>
      </c>
      <c r="AB84" s="155">
        <f t="shared" ref="AB84:AB94" si="83">(Q84*G84)/(R84+N84)</f>
        <v>503.3636364</v>
      </c>
      <c r="AC84" s="137">
        <f t="shared" si="76"/>
        <v>43909.992</v>
      </c>
      <c r="AD84" s="155">
        <f>K84*G84</f>
        <v>22552.992</v>
      </c>
      <c r="AE84" s="137">
        <f t="shared" si="71"/>
        <v>10977.498</v>
      </c>
      <c r="AF84" s="137">
        <f>S84*G84</f>
        <v>5638.248</v>
      </c>
      <c r="AG84" s="160" t="s">
        <v>23</v>
      </c>
      <c r="AH84" s="157" t="s">
        <v>2194</v>
      </c>
      <c r="AI84" s="157" t="s">
        <v>167</v>
      </c>
    </row>
    <row r="85" ht="37.5" customHeight="1">
      <c r="A85" s="136"/>
      <c r="B85" s="13"/>
      <c r="C85" s="14" t="s">
        <v>2013</v>
      </c>
      <c r="D85" s="14" t="s">
        <v>16</v>
      </c>
      <c r="E85" s="14" t="s">
        <v>26</v>
      </c>
      <c r="F85" s="141">
        <v>5346.0</v>
      </c>
      <c r="G85" s="150">
        <v>104.198</v>
      </c>
      <c r="H85" s="151">
        <v>2.47</v>
      </c>
      <c r="I85" s="151">
        <v>2.42</v>
      </c>
      <c r="J85" s="150">
        <f>3063/1653</f>
        <v>1.852994555</v>
      </c>
      <c r="K85" s="137" t="s">
        <v>12</v>
      </c>
      <c r="L85" s="152">
        <f t="shared" si="77"/>
        <v>0.5</v>
      </c>
      <c r="M85" s="153">
        <f t="shared" si="78"/>
        <v>120</v>
      </c>
      <c r="N85" s="150">
        <v>2.117</v>
      </c>
      <c r="O85" s="150">
        <v>1.55</v>
      </c>
      <c r="P85" s="154">
        <v>50.0</v>
      </c>
      <c r="Q85" s="154">
        <v>11.0</v>
      </c>
      <c r="R85" s="150">
        <v>5.0</v>
      </c>
      <c r="S85" s="141" t="s">
        <v>12</v>
      </c>
      <c r="T85" s="137">
        <f t="shared" si="74"/>
        <v>514.73812</v>
      </c>
      <c r="U85" s="137">
        <f t="shared" si="79"/>
        <v>432.2228489</v>
      </c>
      <c r="V85" s="137">
        <f t="shared" si="75"/>
        <v>397.7883462</v>
      </c>
      <c r="W85" s="141">
        <f t="shared" si="5"/>
        <v>214.6732407</v>
      </c>
      <c r="X85" s="137">
        <f t="shared" si="6"/>
        <v>389.7359505</v>
      </c>
      <c r="Y85" s="137">
        <f t="shared" si="80"/>
        <v>670.6035116</v>
      </c>
      <c r="Z85" s="137">
        <f t="shared" si="81"/>
        <v>208.396</v>
      </c>
      <c r="AA85" s="137">
        <f t="shared" si="82"/>
        <v>174.9890076</v>
      </c>
      <c r="AB85" s="155">
        <f t="shared" si="83"/>
        <v>161.0479134</v>
      </c>
      <c r="AC85" s="137" t="s">
        <v>2012</v>
      </c>
      <c r="AD85" s="155" t="s">
        <v>2012</v>
      </c>
      <c r="AE85" s="141" t="s">
        <v>12</v>
      </c>
      <c r="AF85" s="137" t="s">
        <v>12</v>
      </c>
      <c r="AG85" s="139">
        <v>35.78</v>
      </c>
      <c r="AH85" s="128" t="s">
        <v>2195</v>
      </c>
      <c r="AI85" s="128" t="s">
        <v>167</v>
      </c>
    </row>
    <row r="86" ht="37.5" customHeight="1">
      <c r="A86" s="136"/>
      <c r="B86" s="13"/>
      <c r="C86" s="14" t="s">
        <v>2016</v>
      </c>
      <c r="D86" s="14" t="s">
        <v>264</v>
      </c>
      <c r="E86" s="14" t="s">
        <v>26</v>
      </c>
      <c r="F86" s="141">
        <v>2002.0</v>
      </c>
      <c r="G86" s="150">
        <f>117.123/3</f>
        <v>39.041</v>
      </c>
      <c r="H86" s="151">
        <v>2.31</v>
      </c>
      <c r="I86" s="151">
        <v>1.52</v>
      </c>
      <c r="J86" s="150">
        <f>1147/640</f>
        <v>1.7921875</v>
      </c>
      <c r="K86" s="137" t="s">
        <v>12</v>
      </c>
      <c r="L86" s="152">
        <f t="shared" si="77"/>
        <v>0.1719210526</v>
      </c>
      <c r="M86" s="153">
        <f t="shared" si="78"/>
        <v>348.9973978</v>
      </c>
      <c r="N86" s="152">
        <v>1.4</v>
      </c>
      <c r="O86" s="152">
        <v>0.983</v>
      </c>
      <c r="P86" s="154">
        <v>56.0</v>
      </c>
      <c r="Q86" s="154">
        <v>39.0</v>
      </c>
      <c r="R86" s="152">
        <v>6.533</v>
      </c>
      <c r="S86" s="141" t="s">
        <v>12</v>
      </c>
      <c r="T86" s="137">
        <f t="shared" si="74"/>
        <v>524.5704852</v>
      </c>
      <c r="U86" s="137">
        <f t="shared" si="79"/>
        <v>467.9621727</v>
      </c>
      <c r="V86" s="137">
        <f t="shared" si="75"/>
        <v>443.3636317</v>
      </c>
      <c r="W86" s="141">
        <f t="shared" si="5"/>
        <v>247.3868564</v>
      </c>
      <c r="X86" s="137">
        <f t="shared" si="6"/>
        <v>291.7371083</v>
      </c>
      <c r="Y86" s="137">
        <f t="shared" si="80"/>
        <v>647.5796075</v>
      </c>
      <c r="Z86" s="137">
        <f t="shared" si="81"/>
        <v>227.0867901</v>
      </c>
      <c r="AA86" s="137">
        <f t="shared" si="82"/>
        <v>202.5810271</v>
      </c>
      <c r="AB86" s="155">
        <f t="shared" si="83"/>
        <v>191.9323081</v>
      </c>
      <c r="AC86" s="137" t="s">
        <v>2012</v>
      </c>
      <c r="AD86" s="155" t="s">
        <v>2012</v>
      </c>
      <c r="AE86" s="141" t="s">
        <v>12</v>
      </c>
      <c r="AF86" s="137" t="s">
        <v>12</v>
      </c>
      <c r="AG86" s="139">
        <v>35.61</v>
      </c>
      <c r="AH86" s="128" t="s">
        <v>2196</v>
      </c>
      <c r="AI86" s="128" t="s">
        <v>167</v>
      </c>
    </row>
    <row r="87" ht="37.5" customHeight="1">
      <c r="A87" s="136"/>
      <c r="B87" s="13"/>
      <c r="C87" s="14" t="s">
        <v>2050</v>
      </c>
      <c r="D87" s="14" t="s">
        <v>264</v>
      </c>
      <c r="E87" s="14" t="s">
        <v>26</v>
      </c>
      <c r="F87" s="141">
        <v>4720.0</v>
      </c>
      <c r="G87" s="150">
        <v>92.001</v>
      </c>
      <c r="H87" s="151">
        <v>2.21</v>
      </c>
      <c r="I87" s="151">
        <v>1.53</v>
      </c>
      <c r="J87" s="150">
        <f>2704/1346</f>
        <v>2.008915305</v>
      </c>
      <c r="K87" s="137" t="s">
        <v>12</v>
      </c>
      <c r="L87" s="152">
        <f t="shared" si="77"/>
        <v>0.4</v>
      </c>
      <c r="M87" s="153">
        <f t="shared" si="78"/>
        <v>150</v>
      </c>
      <c r="N87" s="150">
        <v>1.633</v>
      </c>
      <c r="O87" s="150">
        <v>1.167</v>
      </c>
      <c r="P87" s="154">
        <v>50.0</v>
      </c>
      <c r="Q87" s="154">
        <v>17.0</v>
      </c>
      <c r="R87" s="150">
        <v>6.4</v>
      </c>
      <c r="S87" s="141" t="s">
        <v>12</v>
      </c>
      <c r="T87" s="137">
        <f t="shared" si="74"/>
        <v>508.305525</v>
      </c>
      <c r="U87" s="137">
        <f t="shared" si="79"/>
        <v>456.7830805</v>
      </c>
      <c r="V87" s="137">
        <f t="shared" si="75"/>
        <v>430.2847716</v>
      </c>
      <c r="W87" s="141">
        <f t="shared" si="5"/>
        <v>214.1876119</v>
      </c>
      <c r="X87" s="137">
        <f t="shared" si="6"/>
        <v>297.8894572</v>
      </c>
      <c r="Y87" s="137">
        <f t="shared" si="80"/>
        <v>638.8073916</v>
      </c>
      <c r="Z87" s="137">
        <f t="shared" si="81"/>
        <v>230.0025</v>
      </c>
      <c r="AA87" s="137">
        <f t="shared" si="82"/>
        <v>206.6891767</v>
      </c>
      <c r="AB87" s="155">
        <f t="shared" si="83"/>
        <v>194.6989917</v>
      </c>
      <c r="AC87" s="137" t="s">
        <v>2012</v>
      </c>
      <c r="AD87" s="155" t="s">
        <v>2012</v>
      </c>
      <c r="AE87" s="141" t="s">
        <v>12</v>
      </c>
      <c r="AF87" s="137" t="s">
        <v>12</v>
      </c>
      <c r="AG87" s="139">
        <v>83.71</v>
      </c>
      <c r="AH87" s="128" t="s">
        <v>2197</v>
      </c>
      <c r="AI87" s="128" t="s">
        <v>167</v>
      </c>
    </row>
    <row r="88" ht="37.5" customHeight="1">
      <c r="A88" s="136"/>
      <c r="B88" s="128"/>
      <c r="C88" s="14" t="s">
        <v>2050</v>
      </c>
      <c r="D88" s="14" t="s">
        <v>17</v>
      </c>
      <c r="E88" s="14" t="s">
        <v>26</v>
      </c>
      <c r="F88" s="141">
        <v>3863.0</v>
      </c>
      <c r="G88" s="150">
        <v>75.298</v>
      </c>
      <c r="H88" s="151">
        <v>2.21</v>
      </c>
      <c r="I88" s="151">
        <v>1.53</v>
      </c>
      <c r="J88" s="150">
        <f>2213/1234</f>
        <v>1.793354943</v>
      </c>
      <c r="K88" s="137" t="s">
        <v>12</v>
      </c>
      <c r="L88" s="152">
        <f t="shared" si="77"/>
        <v>0.3333333333</v>
      </c>
      <c r="M88" s="153">
        <f t="shared" si="78"/>
        <v>180</v>
      </c>
      <c r="N88" s="150">
        <v>1.383</v>
      </c>
      <c r="O88" s="150">
        <v>1.117</v>
      </c>
      <c r="P88" s="154">
        <v>69.0</v>
      </c>
      <c r="Q88" s="154">
        <v>19.0</v>
      </c>
      <c r="R88" s="150">
        <v>6.0</v>
      </c>
      <c r="S88" s="141" t="s">
        <v>12</v>
      </c>
      <c r="T88" s="137">
        <f t="shared" si="74"/>
        <v>499.22574</v>
      </c>
      <c r="U88" s="137">
        <f t="shared" si="79"/>
        <v>444.255026</v>
      </c>
      <c r="V88" s="137">
        <f t="shared" si="75"/>
        <v>428.2490884</v>
      </c>
      <c r="W88" s="141">
        <f t="shared" si="5"/>
        <v>238.7977294</v>
      </c>
      <c r="X88" s="137">
        <f t="shared" si="6"/>
        <v>296.4801382</v>
      </c>
      <c r="Y88" s="137">
        <f t="shared" si="80"/>
        <v>635.7851852</v>
      </c>
      <c r="Z88" s="137">
        <f t="shared" si="81"/>
        <v>225.894</v>
      </c>
      <c r="AA88" s="137">
        <f t="shared" si="82"/>
        <v>201.0203738</v>
      </c>
      <c r="AB88" s="155">
        <f t="shared" si="83"/>
        <v>193.7778681</v>
      </c>
      <c r="AC88" s="137" t="s">
        <v>2012</v>
      </c>
      <c r="AD88" s="155" t="s">
        <v>2012</v>
      </c>
      <c r="AE88" s="141" t="s">
        <v>12</v>
      </c>
      <c r="AF88" s="137" t="s">
        <v>12</v>
      </c>
      <c r="AG88" s="139">
        <v>75.87</v>
      </c>
      <c r="AH88" s="128" t="s">
        <v>2197</v>
      </c>
      <c r="AI88" s="128" t="s">
        <v>167</v>
      </c>
    </row>
    <row r="89" ht="37.5" customHeight="1">
      <c r="A89" s="136"/>
      <c r="B89" s="13"/>
      <c r="C89" s="14" t="s">
        <v>2010</v>
      </c>
      <c r="D89" s="14" t="s">
        <v>17</v>
      </c>
      <c r="E89" s="14" t="s">
        <v>26</v>
      </c>
      <c r="F89" s="141">
        <v>1677.0</v>
      </c>
      <c r="G89" s="150">
        <v>32.744</v>
      </c>
      <c r="H89" s="151">
        <v>1.96</v>
      </c>
      <c r="I89" s="151">
        <v>1.66</v>
      </c>
      <c r="J89" s="150">
        <f>1677/989</f>
        <v>1.695652174</v>
      </c>
      <c r="K89" s="137" t="s">
        <v>12</v>
      </c>
      <c r="L89" s="152">
        <f t="shared" si="77"/>
        <v>0.1333243243</v>
      </c>
      <c r="M89" s="153">
        <f t="shared" si="78"/>
        <v>450.0304075</v>
      </c>
      <c r="N89" s="150">
        <v>1.35</v>
      </c>
      <c r="O89" s="150">
        <v>0.95</v>
      </c>
      <c r="P89" s="154">
        <v>63.0</v>
      </c>
      <c r="Q89" s="154">
        <v>38.0</v>
      </c>
      <c r="R89" s="150">
        <v>4.933</v>
      </c>
      <c r="S89" s="141" t="s">
        <v>12</v>
      </c>
      <c r="T89" s="137">
        <f t="shared" si="74"/>
        <v>481.369325</v>
      </c>
      <c r="U89" s="137">
        <f t="shared" si="79"/>
        <v>414.5458304</v>
      </c>
      <c r="V89" s="137">
        <f t="shared" si="75"/>
        <v>388.1542448</v>
      </c>
      <c r="W89" s="141">
        <f t="shared" si="5"/>
        <v>228.9114777</v>
      </c>
      <c r="X89" s="137">
        <f t="shared" si="6"/>
        <v>328.7428808</v>
      </c>
      <c r="Y89" s="137">
        <f t="shared" si="80"/>
        <v>618.2742613</v>
      </c>
      <c r="Z89" s="137">
        <f t="shared" si="81"/>
        <v>245.5965944</v>
      </c>
      <c r="AA89" s="137">
        <f t="shared" si="82"/>
        <v>211.5029747</v>
      </c>
      <c r="AB89" s="155">
        <f t="shared" si="83"/>
        <v>198.03788</v>
      </c>
      <c r="AC89" s="137" t="s">
        <v>2012</v>
      </c>
      <c r="AD89" s="155" t="s">
        <v>2012</v>
      </c>
      <c r="AE89" s="141" t="s">
        <v>12</v>
      </c>
      <c r="AF89" s="137" t="s">
        <v>12</v>
      </c>
      <c r="AG89" s="139">
        <v>29.4</v>
      </c>
      <c r="AH89" s="128" t="s">
        <v>2198</v>
      </c>
      <c r="AI89" s="128" t="s">
        <v>167</v>
      </c>
    </row>
    <row r="90" ht="37.5" customHeight="1">
      <c r="A90" s="136"/>
      <c r="B90" s="13"/>
      <c r="C90" s="14" t="s">
        <v>2050</v>
      </c>
      <c r="D90" s="14" t="s">
        <v>16</v>
      </c>
      <c r="E90" s="14" t="s">
        <v>26</v>
      </c>
      <c r="F90" s="141">
        <v>6676.0</v>
      </c>
      <c r="G90" s="150">
        <v>130.181</v>
      </c>
      <c r="H90" s="151">
        <v>2.21</v>
      </c>
      <c r="I90" s="151">
        <v>1.53</v>
      </c>
      <c r="J90" s="150">
        <f>3825/2256</f>
        <v>1.695478723</v>
      </c>
      <c r="K90" s="137" t="s">
        <v>12</v>
      </c>
      <c r="L90" s="152">
        <f t="shared" si="77"/>
        <v>0.4987857143</v>
      </c>
      <c r="M90" s="153">
        <f t="shared" si="78"/>
        <v>120.292138</v>
      </c>
      <c r="N90" s="150">
        <v>3.633</v>
      </c>
      <c r="O90" s="150">
        <v>3.083</v>
      </c>
      <c r="P90" s="154">
        <v>69.0</v>
      </c>
      <c r="Q90" s="154">
        <v>15.0</v>
      </c>
      <c r="R90" s="150">
        <v>6.983</v>
      </c>
      <c r="S90" s="141" t="s">
        <v>12</v>
      </c>
      <c r="T90" s="137">
        <f t="shared" si="74"/>
        <v>576.800822</v>
      </c>
      <c r="U90" s="137">
        <f t="shared" si="79"/>
        <v>428.72046</v>
      </c>
      <c r="V90" s="137">
        <f t="shared" si="75"/>
        <v>406.5090571</v>
      </c>
      <c r="W90" s="141">
        <f t="shared" si="5"/>
        <v>239.760636</v>
      </c>
      <c r="X90" s="137">
        <f t="shared" si="6"/>
        <v>281.4293472</v>
      </c>
      <c r="Y90" s="137">
        <f t="shared" si="80"/>
        <v>603.5096001</v>
      </c>
      <c r="Z90" s="137">
        <f t="shared" si="81"/>
        <v>260.9958471</v>
      </c>
      <c r="AA90" s="137">
        <f t="shared" si="82"/>
        <v>193.9911584</v>
      </c>
      <c r="AB90" s="155">
        <f t="shared" si="83"/>
        <v>183.9407498</v>
      </c>
      <c r="AC90" s="137" t="s">
        <v>2012</v>
      </c>
      <c r="AD90" s="155" t="s">
        <v>2012</v>
      </c>
      <c r="AE90" s="141" t="s">
        <v>12</v>
      </c>
      <c r="AF90" s="137" t="s">
        <v>12</v>
      </c>
      <c r="AG90" s="139">
        <v>78.38</v>
      </c>
      <c r="AH90" s="128" t="s">
        <v>2199</v>
      </c>
      <c r="AI90" s="128" t="s">
        <v>167</v>
      </c>
    </row>
    <row r="91" ht="37.5" customHeight="1">
      <c r="A91" s="136"/>
      <c r="B91" s="128"/>
      <c r="C91" s="14" t="s">
        <v>36</v>
      </c>
      <c r="D91" s="14" t="s">
        <v>17</v>
      </c>
      <c r="E91" s="14" t="s">
        <v>26</v>
      </c>
      <c r="F91" s="141">
        <v>1849.0</v>
      </c>
      <c r="G91" s="150">
        <v>36.058</v>
      </c>
      <c r="H91" s="151">
        <v>1.43</v>
      </c>
      <c r="I91" s="151">
        <v>1.33</v>
      </c>
      <c r="J91" s="150">
        <v>1.595</v>
      </c>
      <c r="K91" s="137" t="s">
        <v>12</v>
      </c>
      <c r="L91" s="152">
        <f t="shared" si="77"/>
        <v>0.1005151515</v>
      </c>
      <c r="M91" s="153">
        <f t="shared" si="78"/>
        <v>596.9249322</v>
      </c>
      <c r="N91" s="150">
        <v>1.6</v>
      </c>
      <c r="O91" s="150">
        <v>1.117</v>
      </c>
      <c r="P91" s="154">
        <v>42.0</v>
      </c>
      <c r="Q91" s="154">
        <v>34.0</v>
      </c>
      <c r="R91" s="150">
        <v>3.317</v>
      </c>
      <c r="S91" s="141" t="s">
        <v>12</v>
      </c>
      <c r="T91" s="137">
        <f t="shared" si="74"/>
        <v>512.986741</v>
      </c>
      <c r="U91" s="137">
        <f t="shared" si="79"/>
        <v>395.3856473</v>
      </c>
      <c r="V91" s="137">
        <f t="shared" si="75"/>
        <v>356.5466667</v>
      </c>
      <c r="W91" s="141">
        <f t="shared" si="5"/>
        <v>223.5402299</v>
      </c>
      <c r="X91" s="137">
        <f t="shared" si="6"/>
        <v>331.6133333</v>
      </c>
      <c r="Y91" s="137">
        <f t="shared" si="80"/>
        <v>588.676</v>
      </c>
      <c r="Z91" s="137">
        <f t="shared" si="81"/>
        <v>358.7319867</v>
      </c>
      <c r="AA91" s="137">
        <f t="shared" si="82"/>
        <v>276.4934596</v>
      </c>
      <c r="AB91" s="155">
        <f t="shared" si="83"/>
        <v>249.3333333</v>
      </c>
      <c r="AC91" s="137" t="s">
        <v>2012</v>
      </c>
      <c r="AD91" s="155" t="s">
        <v>2012</v>
      </c>
      <c r="AE91" s="141" t="s">
        <v>12</v>
      </c>
      <c r="AF91" s="137" t="s">
        <v>12</v>
      </c>
      <c r="AG91" s="139">
        <v>19.79</v>
      </c>
      <c r="AH91" s="128" t="s">
        <v>2200</v>
      </c>
      <c r="AI91" s="128" t="s">
        <v>167</v>
      </c>
    </row>
    <row r="92" ht="37.5" customHeight="1">
      <c r="A92" s="136"/>
      <c r="B92" s="128"/>
      <c r="C92" s="14" t="s">
        <v>28</v>
      </c>
      <c r="D92" s="14" t="s">
        <v>17</v>
      </c>
      <c r="E92" s="14" t="s">
        <v>26</v>
      </c>
      <c r="F92" s="141">
        <v>10443.0</v>
      </c>
      <c r="G92" s="150">
        <v>203.556</v>
      </c>
      <c r="H92" s="151">
        <v>2.0</v>
      </c>
      <c r="I92" s="151">
        <v>1.36</v>
      </c>
      <c r="J92" s="150">
        <f>5983/4589</f>
        <v>1.303769885</v>
      </c>
      <c r="K92" s="137" t="s">
        <v>12</v>
      </c>
      <c r="L92" s="152">
        <f t="shared" ref="L92:L94" si="84">R92</f>
        <v>1.15</v>
      </c>
      <c r="M92" s="153">
        <f t="shared" si="78"/>
        <v>52.17391304</v>
      </c>
      <c r="N92" s="150">
        <v>0.0</v>
      </c>
      <c r="O92" s="150">
        <v>0.0</v>
      </c>
      <c r="P92" s="154">
        <v>554.0</v>
      </c>
      <c r="Q92" s="154">
        <v>1.0</v>
      </c>
      <c r="R92" s="150">
        <v>1.15</v>
      </c>
      <c r="S92" s="141" t="s">
        <v>12</v>
      </c>
      <c r="T92" s="137">
        <f t="shared" si="74"/>
        <v>354.0104348</v>
      </c>
      <c r="U92" s="137">
        <f t="shared" si="79"/>
        <v>354.0104348</v>
      </c>
      <c r="V92" s="137">
        <f t="shared" si="75"/>
        <v>354.0104348</v>
      </c>
      <c r="W92" s="141">
        <f t="shared" si="5"/>
        <v>271.5283111</v>
      </c>
      <c r="X92" s="137">
        <f t="shared" si="6"/>
        <v>240.7270957</v>
      </c>
      <c r="Y92" s="137">
        <f t="shared" si="80"/>
        <v>522.5194017</v>
      </c>
      <c r="Z92" s="137">
        <f t="shared" si="81"/>
        <v>177.0052174</v>
      </c>
      <c r="AA92" s="137">
        <f t="shared" si="82"/>
        <v>177.0052174</v>
      </c>
      <c r="AB92" s="155">
        <f t="shared" si="83"/>
        <v>177.0052174</v>
      </c>
      <c r="AC92" s="137" t="s">
        <v>2012</v>
      </c>
      <c r="AD92" s="155" t="s">
        <v>2012</v>
      </c>
      <c r="AE92" s="141" t="s">
        <v>12</v>
      </c>
      <c r="AF92" s="137" t="s">
        <v>12</v>
      </c>
      <c r="AG92" s="139" t="s">
        <v>12</v>
      </c>
      <c r="AH92" s="128" t="s">
        <v>2201</v>
      </c>
      <c r="AI92" s="128" t="s">
        <v>167</v>
      </c>
    </row>
    <row r="93" ht="37.5" customHeight="1">
      <c r="A93" s="136"/>
      <c r="B93" s="13"/>
      <c r="C93" s="14" t="s">
        <v>28</v>
      </c>
      <c r="D93" s="14" t="s">
        <v>24</v>
      </c>
      <c r="E93" s="14" t="s">
        <v>26</v>
      </c>
      <c r="F93" s="141">
        <v>10191.0</v>
      </c>
      <c r="G93" s="150">
        <v>198.651</v>
      </c>
      <c r="H93" s="151">
        <v>2.0</v>
      </c>
      <c r="I93" s="151">
        <v>1.36</v>
      </c>
      <c r="J93" s="150">
        <f>5839/3654</f>
        <v>1.597974822</v>
      </c>
      <c r="K93" s="137" t="s">
        <v>12</v>
      </c>
      <c r="L93" s="152">
        <f t="shared" si="84"/>
        <v>1.133</v>
      </c>
      <c r="M93" s="153">
        <f t="shared" si="78"/>
        <v>52.95675199</v>
      </c>
      <c r="N93" s="150">
        <v>0.0</v>
      </c>
      <c r="O93" s="150">
        <v>0.0</v>
      </c>
      <c r="P93" s="154">
        <v>500.0</v>
      </c>
      <c r="Q93" s="154">
        <v>1.0</v>
      </c>
      <c r="R93" s="150">
        <v>1.133</v>
      </c>
      <c r="S93" s="141" t="s">
        <v>12</v>
      </c>
      <c r="T93" s="137">
        <f t="shared" si="74"/>
        <v>350.6637246</v>
      </c>
      <c r="U93" s="137">
        <f t="shared" si="79"/>
        <v>350.6637246</v>
      </c>
      <c r="V93" s="137">
        <f t="shared" si="75"/>
        <v>350.6637246</v>
      </c>
      <c r="W93" s="141">
        <f t="shared" si="5"/>
        <v>219.4425843</v>
      </c>
      <c r="X93" s="137">
        <f t="shared" si="6"/>
        <v>238.4513327</v>
      </c>
      <c r="Y93" s="137">
        <f t="shared" si="80"/>
        <v>517.5796575</v>
      </c>
      <c r="Z93" s="137">
        <f t="shared" si="81"/>
        <v>175.3318623</v>
      </c>
      <c r="AA93" s="137">
        <f t="shared" si="82"/>
        <v>175.3318623</v>
      </c>
      <c r="AB93" s="155">
        <f t="shared" si="83"/>
        <v>175.3318623</v>
      </c>
      <c r="AC93" s="137" t="s">
        <v>2012</v>
      </c>
      <c r="AD93" s="155" t="s">
        <v>2012</v>
      </c>
      <c r="AE93" s="141" t="s">
        <v>12</v>
      </c>
      <c r="AF93" s="137" t="s">
        <v>12</v>
      </c>
      <c r="AG93" s="139" t="s">
        <v>12</v>
      </c>
      <c r="AH93" s="128" t="s">
        <v>2201</v>
      </c>
      <c r="AI93" s="128" t="s">
        <v>167</v>
      </c>
    </row>
    <row r="94" ht="37.5" customHeight="1">
      <c r="A94" s="136"/>
      <c r="B94" s="128"/>
      <c r="C94" s="14" t="s">
        <v>28</v>
      </c>
      <c r="D94" s="128" t="s">
        <v>2202</v>
      </c>
      <c r="E94" s="14" t="s">
        <v>26</v>
      </c>
      <c r="F94" s="141"/>
      <c r="G94" s="150">
        <v>255.177</v>
      </c>
      <c r="H94" s="151">
        <v>2.0</v>
      </c>
      <c r="I94" s="151">
        <v>1.36</v>
      </c>
      <c r="J94" s="150">
        <f>249/191</f>
        <v>1.303664921</v>
      </c>
      <c r="K94" s="137" t="s">
        <v>12</v>
      </c>
      <c r="L94" s="152">
        <f t="shared" si="84"/>
        <v>1.533</v>
      </c>
      <c r="M94" s="153">
        <f t="shared" si="78"/>
        <v>39.13894325</v>
      </c>
      <c r="N94" s="150">
        <v>0.0</v>
      </c>
      <c r="O94" s="150">
        <v>0.0</v>
      </c>
      <c r="P94" s="154">
        <v>684.0</v>
      </c>
      <c r="Q94" s="154">
        <v>1.0</v>
      </c>
      <c r="R94" s="150">
        <v>1.533</v>
      </c>
      <c r="S94" s="141" t="s">
        <v>12</v>
      </c>
      <c r="T94" s="137">
        <f t="shared" si="74"/>
        <v>332.9119374</v>
      </c>
      <c r="U94" s="137">
        <f t="shared" si="79"/>
        <v>332.9119374</v>
      </c>
      <c r="V94" s="137">
        <f t="shared" si="75"/>
        <v>332.9119374</v>
      </c>
      <c r="W94" s="141">
        <f t="shared" si="5"/>
        <v>255.3661849</v>
      </c>
      <c r="X94" s="137">
        <f t="shared" si="6"/>
        <v>226.3801174</v>
      </c>
      <c r="Y94" s="137">
        <f t="shared" si="80"/>
        <v>491.3780196</v>
      </c>
      <c r="Z94" s="137">
        <f t="shared" si="81"/>
        <v>166.4559687</v>
      </c>
      <c r="AA94" s="137">
        <f t="shared" si="82"/>
        <v>166.4559687</v>
      </c>
      <c r="AB94" s="155">
        <f t="shared" si="83"/>
        <v>166.4559687</v>
      </c>
      <c r="AC94" s="137" t="s">
        <v>2012</v>
      </c>
      <c r="AD94" s="155" t="s">
        <v>2012</v>
      </c>
      <c r="AE94" s="141" t="s">
        <v>12</v>
      </c>
      <c r="AF94" s="137" t="s">
        <v>12</v>
      </c>
      <c r="AG94" s="139" t="s">
        <v>12</v>
      </c>
      <c r="AH94" s="128" t="s">
        <v>2201</v>
      </c>
      <c r="AI94" s="128" t="s">
        <v>167</v>
      </c>
    </row>
    <row r="95" ht="37.5" customHeight="1">
      <c r="A95" s="136"/>
      <c r="B95" s="129"/>
      <c r="C95" s="14" t="s">
        <v>2039</v>
      </c>
      <c r="D95" s="14" t="s">
        <v>2203</v>
      </c>
      <c r="E95" s="14" t="s">
        <v>37</v>
      </c>
      <c r="F95" s="138">
        <v>11644.0</v>
      </c>
      <c r="G95" s="152">
        <v>113.481</v>
      </c>
      <c r="H95" s="139">
        <v>1.67</v>
      </c>
      <c r="I95" s="139">
        <v>1.67</v>
      </c>
      <c r="J95" s="152" t="s">
        <v>12</v>
      </c>
      <c r="K95" s="138" t="s">
        <v>12</v>
      </c>
      <c r="L95" s="152">
        <v>0.458</v>
      </c>
      <c r="M95" s="153">
        <f t="shared" si="78"/>
        <v>131.0043668</v>
      </c>
      <c r="N95" s="152" t="s">
        <v>12</v>
      </c>
      <c r="O95" s="152" t="s">
        <v>12</v>
      </c>
      <c r="P95" s="138" t="s">
        <v>12</v>
      </c>
      <c r="Q95" s="138" t="s">
        <v>12</v>
      </c>
      <c r="R95" s="152">
        <v>0.0</v>
      </c>
      <c r="S95" s="139" t="s">
        <v>12</v>
      </c>
      <c r="T95" s="137" t="s">
        <v>12</v>
      </c>
      <c r="U95" s="137" t="s">
        <v>12</v>
      </c>
      <c r="V95" s="137">
        <f t="shared" si="75"/>
        <v>413.7844323</v>
      </c>
      <c r="W95" s="141">
        <f t="shared" si="5"/>
        <v>413.7844323</v>
      </c>
      <c r="X95" s="137">
        <f t="shared" si="6"/>
        <v>413.7844323</v>
      </c>
      <c r="Y95" s="137">
        <f t="shared" si="80"/>
        <v>703.4335349</v>
      </c>
      <c r="Z95" s="137" t="s">
        <v>12</v>
      </c>
      <c r="AA95" s="137" t="s">
        <v>12</v>
      </c>
      <c r="AB95" s="155">
        <f>G95/L95</f>
        <v>247.7751092</v>
      </c>
      <c r="AC95" s="137" t="s">
        <v>2012</v>
      </c>
      <c r="AD95" s="155" t="s">
        <v>2012</v>
      </c>
      <c r="AE95" s="137" t="s">
        <v>12</v>
      </c>
      <c r="AF95" s="137" t="s">
        <v>12</v>
      </c>
      <c r="AG95" s="139" t="s">
        <v>12</v>
      </c>
      <c r="AH95" s="128" t="s">
        <v>12</v>
      </c>
      <c r="AI95" s="128" t="s">
        <v>12</v>
      </c>
    </row>
  </sheetData>
  <autoFilter ref="$A$2:$AI$95">
    <sortState ref="A2:AI95">
      <sortCondition ref="AI2:AI95"/>
      <sortCondition descending="1" ref="Y2:Y95"/>
      <sortCondition ref="C2:C95"/>
      <sortCondition ref="D2:D95"/>
      <sortCondition descending="1" ref="Z2:Z95"/>
      <sortCondition ref="E2:E95"/>
      <sortCondition descending="1" ref="V2:V95"/>
      <sortCondition descending="1" ref="W2:W95"/>
      <sortCondition descending="1" ref="AB2:AB95"/>
    </sortState>
  </autoFilter>
  <mergeCells count="6">
    <mergeCell ref="A1:E1"/>
    <mergeCell ref="F1:S1"/>
    <mergeCell ref="T1:AG1"/>
    <mergeCell ref="AH1:AI1"/>
    <mergeCell ref="A2:B2"/>
    <mergeCell ref="N2:P2"/>
  </mergeCells>
  <conditionalFormatting sqref="AH3:AI95">
    <cfRule type="cellIs" dxfId="3" priority="1" operator="equal">
      <formula>"F"</formula>
    </cfRule>
  </conditionalFormatting>
  <conditionalFormatting sqref="AH3:AI95">
    <cfRule type="cellIs" dxfId="4" priority="2" operator="equal">
      <formula>"E"</formula>
    </cfRule>
  </conditionalFormatting>
  <conditionalFormatting sqref="AH3:AI95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H3:AI95">
    <cfRule type="cellIs" dxfId="5" priority="4" operator="equal">
      <formula>"S"</formula>
    </cfRule>
  </conditionalFormatting>
  <conditionalFormatting sqref="AH3:AI95">
    <cfRule type="cellIs" dxfId="6" priority="5" operator="equal">
      <formula>"B"</formula>
    </cfRule>
  </conditionalFormatting>
  <conditionalFormatting sqref="AH3:AI95">
    <cfRule type="cellIs" dxfId="7" priority="6" operator="equal">
      <formula>"D"</formula>
    </cfRule>
  </conditionalFormatting>
  <conditionalFormatting sqref="AH3:AI95">
    <cfRule type="cellIs" dxfId="8" priority="7" operator="equal">
      <formula>"C"</formula>
    </cfRule>
  </conditionalFormatting>
  <conditionalFormatting sqref="AH3:AI95">
    <cfRule type="cellIs" dxfId="9" priority="8" operator="equal">
      <formula>"A"</formula>
    </cfRule>
  </conditionalFormatting>
  <conditionalFormatting sqref="E3:E95">
    <cfRule type="cellIs" dxfId="16" priority="9" operator="equal">
      <formula>"Primary"</formula>
    </cfRule>
  </conditionalFormatting>
  <conditionalFormatting sqref="E3:E95">
    <cfRule type="cellIs" dxfId="17" priority="10" operator="equal">
      <formula>"Special"</formula>
    </cfRule>
  </conditionalFormatting>
  <conditionalFormatting sqref="E3:E95">
    <cfRule type="cellIs" dxfId="18" priority="11" operator="equal">
      <formula>"Power"</formula>
    </cfRule>
  </conditionalFormatting>
  <conditionalFormatting sqref="F1:G1 T2:T95">
    <cfRule type="colorScale" priority="1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U2:U95">
    <cfRule type="colorScale" priority="1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V2:V95 W2 U68">
    <cfRule type="colorScale" priority="1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X2:X95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X2:Y2 Z2:Z95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A2:AA95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B2:AB95">
    <cfRule type="colorScale" priority="18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C2:AC95">
    <cfRule type="colorScale" priority="19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D2:AD95">
    <cfRule type="colorScale" priority="20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E2:AE95">
    <cfRule type="colorScale" priority="2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F2:AF95">
    <cfRule type="colorScale" priority="2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G2:AG95">
    <cfRule type="colorScale" priority="2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J3:J95">
    <cfRule type="colorScale" priority="2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W3:W95">
    <cfRule type="colorScale" priority="2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Y3:Y95">
    <cfRule type="colorScale" priority="2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2.38"/>
    <col customWidth="1" min="4" max="4" width="11.0"/>
    <col customWidth="1" min="5" max="5" width="19.38"/>
    <col customWidth="1" min="7" max="8" width="14.75"/>
    <col customWidth="1" min="9" max="9" width="18.0"/>
    <col customWidth="1" min="10" max="10" width="17.88"/>
    <col customWidth="1" min="11" max="11" width="20.0"/>
  </cols>
  <sheetData>
    <row r="1">
      <c r="A1" s="165" t="s">
        <v>406</v>
      </c>
      <c r="B1" s="165" t="s">
        <v>2204</v>
      </c>
      <c r="C1" s="165" t="s">
        <v>2205</v>
      </c>
      <c r="D1" s="165"/>
      <c r="E1" s="165" t="s">
        <v>2206</v>
      </c>
      <c r="F1" s="165" t="s">
        <v>2207</v>
      </c>
      <c r="G1" s="165" t="s">
        <v>2203</v>
      </c>
      <c r="H1" s="165" t="s">
        <v>2208</v>
      </c>
      <c r="I1" s="165" t="s">
        <v>2209</v>
      </c>
      <c r="J1" s="165" t="s">
        <v>2210</v>
      </c>
      <c r="K1" s="165" t="s">
        <v>2211</v>
      </c>
    </row>
    <row r="2">
      <c r="A2" s="166" t="s">
        <v>1702</v>
      </c>
      <c r="B2" s="99" t="s">
        <v>2212</v>
      </c>
      <c r="C2" s="99" t="s">
        <v>2213</v>
      </c>
      <c r="D2" s="167" t="s">
        <v>2214</v>
      </c>
      <c r="E2" s="168" t="s">
        <v>2215</v>
      </c>
      <c r="F2" s="168" t="s">
        <v>2216</v>
      </c>
      <c r="G2" s="166" t="s">
        <v>2217</v>
      </c>
      <c r="H2" s="168" t="s">
        <v>2218</v>
      </c>
      <c r="I2" s="168" t="s">
        <v>2219</v>
      </c>
      <c r="J2" s="166" t="s">
        <v>2220</v>
      </c>
      <c r="K2" s="169" t="s">
        <v>2221</v>
      </c>
    </row>
    <row r="3">
      <c r="A3" s="168" t="s">
        <v>1698</v>
      </c>
      <c r="B3" s="99" t="s">
        <v>2222</v>
      </c>
      <c r="C3" s="99" t="s">
        <v>12</v>
      </c>
      <c r="E3" s="170" t="s">
        <v>2223</v>
      </c>
      <c r="F3" s="168" t="s">
        <v>2224</v>
      </c>
      <c r="G3" s="168" t="s">
        <v>2225</v>
      </c>
      <c r="H3" s="166" t="s">
        <v>2226</v>
      </c>
      <c r="I3" s="168" t="s">
        <v>2227</v>
      </c>
      <c r="J3" s="166" t="s">
        <v>2228</v>
      </c>
      <c r="K3" s="171" t="s">
        <v>2229</v>
      </c>
    </row>
    <row r="4">
      <c r="A4" s="168" t="s">
        <v>1703</v>
      </c>
      <c r="B4" s="99" t="s">
        <v>2230</v>
      </c>
      <c r="C4" s="172" t="str">
        <f>"+10 mob"</f>
        <v>+10 mob</v>
      </c>
      <c r="E4" s="168" t="s">
        <v>2231</v>
      </c>
      <c r="F4" s="168" t="s">
        <v>2232</v>
      </c>
      <c r="G4" s="168" t="s">
        <v>2233</v>
      </c>
      <c r="H4" s="168" t="s">
        <v>2234</v>
      </c>
      <c r="I4" s="166" t="s">
        <v>2235</v>
      </c>
      <c r="J4" s="173" t="s">
        <v>2236</v>
      </c>
      <c r="K4" s="169" t="s">
        <v>2237</v>
      </c>
    </row>
    <row r="5">
      <c r="A5" s="166" t="s">
        <v>1691</v>
      </c>
      <c r="B5" s="99" t="s">
        <v>2238</v>
      </c>
      <c r="C5" s="99" t="s">
        <v>2239</v>
      </c>
      <c r="E5" s="168" t="s">
        <v>2240</v>
      </c>
      <c r="F5" s="166" t="s">
        <v>2241</v>
      </c>
      <c r="G5" s="168" t="s">
        <v>2242</v>
      </c>
      <c r="H5" s="174"/>
      <c r="I5" s="168" t="s">
        <v>2243</v>
      </c>
      <c r="J5" s="170" t="s">
        <v>2244</v>
      </c>
      <c r="K5" s="166" t="s">
        <v>2245</v>
      </c>
    </row>
    <row r="6">
      <c r="A6" s="166" t="s">
        <v>1701</v>
      </c>
      <c r="B6" s="99" t="s">
        <v>2246</v>
      </c>
      <c r="C6" s="172" t="str">
        <f>"+10 str"</f>
        <v>+10 str</v>
      </c>
      <c r="E6" s="166" t="s">
        <v>2247</v>
      </c>
      <c r="F6" s="168" t="s">
        <v>2248</v>
      </c>
      <c r="G6" s="168" t="s">
        <v>2249</v>
      </c>
      <c r="H6" s="174"/>
      <c r="I6" s="166" t="s">
        <v>2250</v>
      </c>
      <c r="J6" s="168" t="s">
        <v>2251</v>
      </c>
      <c r="K6" s="168" t="s">
        <v>2252</v>
      </c>
    </row>
    <row r="7">
      <c r="A7" s="166" t="s">
        <v>906</v>
      </c>
      <c r="B7" s="99" t="s">
        <v>2253</v>
      </c>
      <c r="D7" s="175"/>
      <c r="F7" s="176" t="s">
        <v>2254</v>
      </c>
      <c r="H7" s="177"/>
      <c r="J7" s="168" t="s">
        <v>2255</v>
      </c>
      <c r="K7" s="166" t="s">
        <v>2256</v>
      </c>
    </row>
    <row r="8">
      <c r="A8" s="168" t="s">
        <v>1688</v>
      </c>
      <c r="B8" s="99" t="s">
        <v>2257</v>
      </c>
      <c r="D8" s="175"/>
      <c r="H8" s="177"/>
      <c r="J8" s="166" t="s">
        <v>2258</v>
      </c>
      <c r="K8" s="168" t="s">
        <v>2259</v>
      </c>
    </row>
    <row r="9">
      <c r="A9" s="168" t="s">
        <v>1692</v>
      </c>
      <c r="B9" s="99" t="s">
        <v>2260</v>
      </c>
      <c r="C9" s="172" t="str">
        <f>"+10 rec"</f>
        <v>+10 rec</v>
      </c>
      <c r="J9" s="166" t="s">
        <v>2261</v>
      </c>
      <c r="K9" s="168" t="s">
        <v>2262</v>
      </c>
    </row>
    <row r="10">
      <c r="A10" s="166" t="s">
        <v>1694</v>
      </c>
      <c r="B10" s="99" t="s">
        <v>2263</v>
      </c>
      <c r="C10" s="99" t="s">
        <v>2264</v>
      </c>
    </row>
    <row r="11">
      <c r="A11" s="178" t="s">
        <v>1695</v>
      </c>
      <c r="B11" s="99" t="s">
        <v>2265</v>
      </c>
    </row>
    <row r="12">
      <c r="A12" s="178" t="s">
        <v>1696</v>
      </c>
      <c r="B12" s="99" t="s">
        <v>2266</v>
      </c>
      <c r="C12" s="99" t="s">
        <v>2267</v>
      </c>
      <c r="D12" s="179" t="s">
        <v>2268</v>
      </c>
      <c r="E12" s="168" t="s">
        <v>2269</v>
      </c>
      <c r="F12" s="168" t="s">
        <v>2270</v>
      </c>
      <c r="G12" s="168" t="s">
        <v>2271</v>
      </c>
      <c r="H12" s="168" t="s">
        <v>2272</v>
      </c>
      <c r="I12" s="168" t="s">
        <v>2273</v>
      </c>
      <c r="J12" s="166" t="s">
        <v>2220</v>
      </c>
      <c r="K12" s="169" t="s">
        <v>2221</v>
      </c>
    </row>
    <row r="13">
      <c r="A13" s="178" t="s">
        <v>1699</v>
      </c>
      <c r="B13" s="99" t="s">
        <v>2274</v>
      </c>
      <c r="C13" s="172" t="str">
        <f>"+10 int"</f>
        <v>+10 int</v>
      </c>
      <c r="E13" s="168" t="s">
        <v>2275</v>
      </c>
      <c r="F13" s="168" t="s">
        <v>2276</v>
      </c>
      <c r="G13" s="168" t="s">
        <v>2277</v>
      </c>
      <c r="H13" s="168" t="s">
        <v>2278</v>
      </c>
      <c r="I13" s="166" t="s">
        <v>2279</v>
      </c>
      <c r="J13" s="166" t="s">
        <v>2228</v>
      </c>
      <c r="K13" s="171" t="s">
        <v>2229</v>
      </c>
    </row>
    <row r="14">
      <c r="A14" s="166" t="s">
        <v>1690</v>
      </c>
      <c r="B14" s="99" t="s">
        <v>2280</v>
      </c>
      <c r="C14" s="172" t="str">
        <f>"+10 dis"</f>
        <v>+10 dis</v>
      </c>
      <c r="E14" s="166" t="s">
        <v>2281</v>
      </c>
      <c r="F14" s="166" t="s">
        <v>2282</v>
      </c>
      <c r="G14" s="166" t="s">
        <v>2283</v>
      </c>
      <c r="H14" s="166" t="s">
        <v>2284</v>
      </c>
      <c r="I14" s="168" t="s">
        <v>2285</v>
      </c>
      <c r="J14" s="173" t="s">
        <v>2236</v>
      </c>
      <c r="K14" s="169" t="s">
        <v>2237</v>
      </c>
    </row>
    <row r="15">
      <c r="A15" s="166" t="s">
        <v>1687</v>
      </c>
      <c r="B15" s="99" t="s">
        <v>2286</v>
      </c>
      <c r="E15" s="168" t="s">
        <v>2287</v>
      </c>
      <c r="F15" s="168" t="s">
        <v>2288</v>
      </c>
      <c r="G15" s="168" t="s">
        <v>2289</v>
      </c>
      <c r="H15" s="174"/>
      <c r="I15" s="166" t="s">
        <v>2290</v>
      </c>
      <c r="J15" s="166" t="s">
        <v>2291</v>
      </c>
      <c r="K15" s="166" t="s">
        <v>2292</v>
      </c>
    </row>
    <row r="16">
      <c r="A16" s="166" t="s">
        <v>1700</v>
      </c>
      <c r="B16" s="99" t="s">
        <v>2293</v>
      </c>
      <c r="E16" s="168" t="s">
        <v>2294</v>
      </c>
      <c r="F16" s="166" t="s">
        <v>2295</v>
      </c>
      <c r="G16" s="168" t="s">
        <v>2296</v>
      </c>
      <c r="H16" s="174"/>
      <c r="I16" s="168" t="s">
        <v>2297</v>
      </c>
      <c r="J16" s="168" t="s">
        <v>2298</v>
      </c>
      <c r="K16" s="168" t="s">
        <v>2299</v>
      </c>
    </row>
    <row r="17">
      <c r="A17" s="178" t="s">
        <v>1697</v>
      </c>
      <c r="B17" s="99" t="s">
        <v>2300</v>
      </c>
      <c r="C17" s="172" t="str">
        <f>"+10 str"</f>
        <v>+10 str</v>
      </c>
      <c r="F17" s="180" t="s">
        <v>2301</v>
      </c>
      <c r="J17" s="170" t="s">
        <v>2302</v>
      </c>
      <c r="K17" s="168" t="s">
        <v>2303</v>
      </c>
    </row>
    <row r="18">
      <c r="A18" s="178" t="s">
        <v>1704</v>
      </c>
      <c r="B18" s="99" t="s">
        <v>2304</v>
      </c>
      <c r="C18" s="172" t="str">
        <f>"+10 dis"</f>
        <v>+10 dis</v>
      </c>
      <c r="J18" s="168" t="s">
        <v>2305</v>
      </c>
      <c r="K18" s="168" t="s">
        <v>2306</v>
      </c>
    </row>
    <row r="19">
      <c r="A19" s="178" t="s">
        <v>1693</v>
      </c>
      <c r="B19" s="99" t="s">
        <v>2307</v>
      </c>
      <c r="C19" s="172" t="str">
        <f>"+10 str"</f>
        <v>+10 str</v>
      </c>
      <c r="J19" s="168" t="s">
        <v>2308</v>
      </c>
      <c r="K19" s="168" t="s">
        <v>2309</v>
      </c>
    </row>
    <row r="20">
      <c r="A20" s="170" t="s">
        <v>1689</v>
      </c>
      <c r="B20" s="99" t="s">
        <v>2310</v>
      </c>
      <c r="D20" s="175"/>
      <c r="H20" s="177"/>
    </row>
    <row r="21">
      <c r="A21" s="166" t="s">
        <v>908</v>
      </c>
      <c r="B21" s="99" t="s">
        <v>2311</v>
      </c>
      <c r="C21" s="172" t="str">
        <f>"+10 res"</f>
        <v>+10 res</v>
      </c>
      <c r="H21" s="177"/>
    </row>
    <row r="22">
      <c r="A22" s="168" t="s">
        <v>1705</v>
      </c>
      <c r="B22" s="99" t="s">
        <v>2312</v>
      </c>
      <c r="D22" s="181" t="s">
        <v>2313</v>
      </c>
      <c r="E22" s="166" t="s">
        <v>2314</v>
      </c>
      <c r="F22" s="166" t="s">
        <v>2315</v>
      </c>
      <c r="G22" s="168" t="s">
        <v>2316</v>
      </c>
      <c r="H22" s="166" t="s">
        <v>2317</v>
      </c>
      <c r="I22" s="168" t="s">
        <v>2318</v>
      </c>
      <c r="J22" s="166" t="s">
        <v>2220</v>
      </c>
      <c r="K22" s="169" t="s">
        <v>2221</v>
      </c>
    </row>
    <row r="23">
      <c r="E23" s="168" t="s">
        <v>2319</v>
      </c>
      <c r="F23" s="166" t="s">
        <v>25</v>
      </c>
      <c r="G23" s="168" t="s">
        <v>2320</v>
      </c>
      <c r="H23" s="168" t="s">
        <v>2321</v>
      </c>
      <c r="I23" s="166" t="s">
        <v>2322</v>
      </c>
      <c r="J23" s="166" t="s">
        <v>2228</v>
      </c>
      <c r="K23" s="171" t="s">
        <v>2229</v>
      </c>
    </row>
    <row r="24">
      <c r="A24" s="165" t="s">
        <v>2323</v>
      </c>
      <c r="B24" s="165" t="s">
        <v>2204</v>
      </c>
      <c r="E24" s="168" t="s">
        <v>2324</v>
      </c>
      <c r="F24" s="166" t="s">
        <v>2325</v>
      </c>
      <c r="G24" s="168" t="s">
        <v>2326</v>
      </c>
      <c r="H24" s="170" t="s">
        <v>2327</v>
      </c>
      <c r="I24" s="166" t="s">
        <v>2328</v>
      </c>
      <c r="J24" s="173" t="s">
        <v>2236</v>
      </c>
      <c r="K24" s="169" t="s">
        <v>2237</v>
      </c>
    </row>
    <row r="25">
      <c r="A25" s="182" t="s">
        <v>2329</v>
      </c>
      <c r="B25" s="99" t="s">
        <v>2330</v>
      </c>
      <c r="E25" s="168" t="s">
        <v>2331</v>
      </c>
      <c r="F25" s="170" t="s">
        <v>2332</v>
      </c>
      <c r="G25" s="170" t="s">
        <v>2333</v>
      </c>
      <c r="H25" s="174"/>
      <c r="I25" s="168" t="s">
        <v>2334</v>
      </c>
      <c r="J25" s="166" t="s">
        <v>2335</v>
      </c>
      <c r="K25" s="168" t="s">
        <v>2336</v>
      </c>
    </row>
    <row r="26">
      <c r="A26" s="182" t="s">
        <v>2337</v>
      </c>
      <c r="B26" s="99" t="s">
        <v>2338</v>
      </c>
      <c r="E26" s="170" t="s">
        <v>2339</v>
      </c>
      <c r="F26" s="168" t="s">
        <v>2340</v>
      </c>
      <c r="G26" s="166" t="s">
        <v>2341</v>
      </c>
      <c r="H26" s="174"/>
      <c r="I26" s="168" t="s">
        <v>2342</v>
      </c>
      <c r="J26" s="168" t="s">
        <v>2343</v>
      </c>
      <c r="K26" s="166" t="s">
        <v>2344</v>
      </c>
    </row>
    <row r="27">
      <c r="A27" s="182" t="s">
        <v>2345</v>
      </c>
      <c r="B27" s="99" t="s">
        <v>2346</v>
      </c>
      <c r="F27" s="176" t="s">
        <v>2347</v>
      </c>
      <c r="H27" s="177"/>
      <c r="J27" s="168" t="s">
        <v>2348</v>
      </c>
      <c r="K27" s="168" t="s">
        <v>2349</v>
      </c>
    </row>
    <row r="28">
      <c r="A28" s="182" t="s">
        <v>2350</v>
      </c>
      <c r="B28" s="99" t="s">
        <v>2351</v>
      </c>
      <c r="J28" s="166" t="s">
        <v>2352</v>
      </c>
      <c r="K28" s="168" t="s">
        <v>2353</v>
      </c>
    </row>
    <row r="29">
      <c r="A29" s="182" t="s">
        <v>2354</v>
      </c>
      <c r="B29" s="99" t="s">
        <v>2355</v>
      </c>
      <c r="J29" s="166" t="s">
        <v>2356</v>
      </c>
      <c r="K29" s="166" t="s">
        <v>2357</v>
      </c>
    </row>
    <row r="30">
      <c r="A30" s="182" t="s">
        <v>2358</v>
      </c>
      <c r="B30" s="99" t="s">
        <v>2359</v>
      </c>
    </row>
    <row r="31">
      <c r="A31" s="182" t="s">
        <v>2360</v>
      </c>
      <c r="B31" s="183" t="s">
        <v>2361</v>
      </c>
    </row>
    <row r="33">
      <c r="A33" s="165"/>
    </row>
  </sheetData>
  <mergeCells count="3">
    <mergeCell ref="D2:D6"/>
    <mergeCell ref="D12:D16"/>
    <mergeCell ref="D22:D2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38"/>
    <col customWidth="1" min="2" max="2" width="13.13"/>
    <col customWidth="1" min="3" max="3" width="14.63"/>
    <col customWidth="1" min="4" max="4" width="8.63"/>
    <col customWidth="1" min="5" max="10" width="7.75"/>
    <col customWidth="1" min="11" max="13" width="10.13"/>
    <col customWidth="1" min="14" max="14" width="7.88"/>
    <col customWidth="1" min="15" max="15" width="8.63"/>
    <col customWidth="1" min="16" max="18" width="7.38"/>
    <col customWidth="1" min="19" max="19" width="8.0"/>
    <col customWidth="1" min="20" max="20" width="19.13"/>
    <col customWidth="1" min="21" max="21" width="7.38"/>
  </cols>
  <sheetData>
    <row r="1" ht="15.0" customHeight="1">
      <c r="A1" s="131" t="s">
        <v>48</v>
      </c>
      <c r="E1" s="6"/>
      <c r="F1" s="6" t="s">
        <v>1979</v>
      </c>
      <c r="U1" s="10" t="s">
        <v>1980</v>
      </c>
    </row>
    <row r="2">
      <c r="A2" s="132" t="s">
        <v>53</v>
      </c>
      <c r="B2" s="11" t="s">
        <v>1</v>
      </c>
      <c r="C2" s="11" t="s">
        <v>55</v>
      </c>
      <c r="D2" s="11" t="s">
        <v>0</v>
      </c>
      <c r="E2" s="11" t="s">
        <v>2362</v>
      </c>
      <c r="F2" s="11" t="s">
        <v>2363</v>
      </c>
      <c r="G2" s="11" t="s">
        <v>2364</v>
      </c>
      <c r="H2" s="11" t="s">
        <v>2365</v>
      </c>
      <c r="I2" s="11" t="s">
        <v>2366</v>
      </c>
      <c r="J2" s="11" t="s">
        <v>2367</v>
      </c>
      <c r="K2" s="11" t="s">
        <v>2368</v>
      </c>
      <c r="L2" s="11" t="s">
        <v>2369</v>
      </c>
      <c r="M2" s="11" t="s">
        <v>2370</v>
      </c>
      <c r="N2" s="127" t="s">
        <v>2371</v>
      </c>
      <c r="O2" s="127" t="s">
        <v>2372</v>
      </c>
      <c r="P2" s="11" t="s">
        <v>2373</v>
      </c>
      <c r="Q2" s="11" t="s">
        <v>2374</v>
      </c>
      <c r="R2" s="11" t="s">
        <v>2375</v>
      </c>
      <c r="S2" s="11" t="s">
        <v>2376</v>
      </c>
      <c r="T2" s="127" t="s">
        <v>2377</v>
      </c>
      <c r="U2" s="12" t="s">
        <v>63</v>
      </c>
    </row>
    <row r="3" ht="37.5" customHeight="1">
      <c r="A3" s="136"/>
      <c r="B3" s="14" t="s">
        <v>1997</v>
      </c>
      <c r="C3" s="14" t="s">
        <v>13</v>
      </c>
      <c r="D3" s="14" t="s">
        <v>9</v>
      </c>
      <c r="E3" s="137">
        <v>120530.47244094487</v>
      </c>
      <c r="F3" s="137">
        <f t="shared" ref="F3:F6" si="1">J3*1.46</f>
        <v>120530.4724</v>
      </c>
      <c r="G3" s="137">
        <v>86682.87401574804</v>
      </c>
      <c r="H3" s="137">
        <f t="shared" ref="H3:H6" si="2">J3*1.05</f>
        <v>86682.87402</v>
      </c>
      <c r="I3" s="137">
        <v>82555.11811023622</v>
      </c>
      <c r="J3" s="137">
        <f t="shared" ref="J3:J22" si="3">L3/N3</f>
        <v>82555.11811</v>
      </c>
      <c r="K3" s="184">
        <v>41938.0</v>
      </c>
      <c r="L3" s="184">
        <f t="shared" ref="L3:L80" si="4">K3*M3</f>
        <v>41938</v>
      </c>
      <c r="M3" s="185">
        <v>1.0</v>
      </c>
      <c r="N3" s="185">
        <v>0.508</v>
      </c>
      <c r="O3" s="186">
        <v>35.0</v>
      </c>
      <c r="P3" s="137">
        <f t="shared" ref="P3:P6" si="5">R3*1.46</f>
        <v>2143031.8</v>
      </c>
      <c r="Q3" s="137">
        <v>1300078.0</v>
      </c>
      <c r="R3" s="137">
        <f t="shared" ref="R3:R16" si="6">O3*L3</f>
        <v>1467830</v>
      </c>
      <c r="S3" s="152">
        <f t="shared" ref="S3:S22" si="7">R3/Q3</f>
        <v>1.129032258</v>
      </c>
      <c r="T3" s="14" t="s">
        <v>2378</v>
      </c>
      <c r="U3" s="14" t="s">
        <v>71</v>
      </c>
    </row>
    <row r="4" ht="37.5" customHeight="1">
      <c r="A4" s="136"/>
      <c r="B4" s="14" t="s">
        <v>1997</v>
      </c>
      <c r="C4" s="14" t="s">
        <v>11</v>
      </c>
      <c r="D4" s="14" t="s">
        <v>9</v>
      </c>
      <c r="E4" s="137">
        <v>118718.37209302325</v>
      </c>
      <c r="F4" s="137">
        <f t="shared" si="1"/>
        <v>106846.5349</v>
      </c>
      <c r="G4" s="137">
        <v>85379.6511627907</v>
      </c>
      <c r="H4" s="137">
        <f t="shared" si="2"/>
        <v>76841.68605</v>
      </c>
      <c r="I4" s="137">
        <v>81313.95348837209</v>
      </c>
      <c r="J4" s="137">
        <f t="shared" si="3"/>
        <v>73182.55814</v>
      </c>
      <c r="K4" s="184">
        <v>41958.0</v>
      </c>
      <c r="L4" s="184">
        <f t="shared" si="4"/>
        <v>37762.2</v>
      </c>
      <c r="M4" s="185">
        <v>0.9</v>
      </c>
      <c r="N4" s="185">
        <v>0.516</v>
      </c>
      <c r="O4" s="186">
        <v>41.0</v>
      </c>
      <c r="P4" s="137">
        <f t="shared" si="5"/>
        <v>2260445.292</v>
      </c>
      <c r="Q4" s="137">
        <v>1216782.0</v>
      </c>
      <c r="R4" s="137">
        <f t="shared" si="6"/>
        <v>1548250.2</v>
      </c>
      <c r="S4" s="152">
        <f t="shared" si="7"/>
        <v>1.272413793</v>
      </c>
      <c r="T4" s="14" t="s">
        <v>2379</v>
      </c>
      <c r="U4" s="14" t="s">
        <v>136</v>
      </c>
    </row>
    <row r="5" ht="37.5" customHeight="1">
      <c r="A5" s="136"/>
      <c r="B5" s="14" t="s">
        <v>1997</v>
      </c>
      <c r="C5" s="14" t="s">
        <v>17</v>
      </c>
      <c r="D5" s="14" t="s">
        <v>9</v>
      </c>
      <c r="E5" s="137">
        <v>99146.16666666667</v>
      </c>
      <c r="F5" s="137">
        <f t="shared" si="1"/>
        <v>99146.16667</v>
      </c>
      <c r="G5" s="137">
        <v>71303.75000000001</v>
      </c>
      <c r="H5" s="137">
        <f t="shared" si="2"/>
        <v>71303.75</v>
      </c>
      <c r="I5" s="137">
        <v>67908.33333333334</v>
      </c>
      <c r="J5" s="137">
        <f t="shared" si="3"/>
        <v>67908.33333</v>
      </c>
      <c r="K5" s="184">
        <v>40745.0</v>
      </c>
      <c r="L5" s="184">
        <f t="shared" si="4"/>
        <v>40745</v>
      </c>
      <c r="M5" s="185">
        <v>1.0</v>
      </c>
      <c r="N5" s="185">
        <v>0.6</v>
      </c>
      <c r="O5" s="186">
        <v>29.0</v>
      </c>
      <c r="P5" s="137">
        <f t="shared" si="5"/>
        <v>1725143.3</v>
      </c>
      <c r="Q5" s="137">
        <v>1181605.0</v>
      </c>
      <c r="R5" s="137">
        <f t="shared" si="6"/>
        <v>1181605</v>
      </c>
      <c r="S5" s="152">
        <f t="shared" si="7"/>
        <v>1</v>
      </c>
      <c r="T5" s="14" t="s">
        <v>2380</v>
      </c>
      <c r="U5" s="14" t="s">
        <v>167</v>
      </c>
    </row>
    <row r="6" ht="37.5" customHeight="1">
      <c r="A6" s="136"/>
      <c r="B6" s="14" t="s">
        <v>1997</v>
      </c>
      <c r="C6" s="14" t="s">
        <v>1998</v>
      </c>
      <c r="D6" s="14" t="s">
        <v>9</v>
      </c>
      <c r="E6" s="137">
        <v>122406.4</v>
      </c>
      <c r="F6" s="137">
        <f t="shared" si="1"/>
        <v>126542.7089</v>
      </c>
      <c r="G6" s="137">
        <v>88032.0</v>
      </c>
      <c r="H6" s="137">
        <f t="shared" si="2"/>
        <v>91006.74269</v>
      </c>
      <c r="I6" s="137">
        <v>83840.0</v>
      </c>
      <c r="J6" s="137">
        <f t="shared" si="3"/>
        <v>86673.08828</v>
      </c>
      <c r="K6" s="184">
        <v>33536.0</v>
      </c>
      <c r="L6" s="184">
        <f t="shared" si="4"/>
        <v>34669.23531</v>
      </c>
      <c r="M6" s="185">
        <f>2.041/2.073*1.05</f>
        <v>1.033791606</v>
      </c>
      <c r="N6" s="185">
        <v>0.4</v>
      </c>
      <c r="O6" s="186">
        <v>38.0</v>
      </c>
      <c r="P6" s="137">
        <f t="shared" si="5"/>
        <v>1923449.175</v>
      </c>
      <c r="Q6" s="137">
        <v>1274368.0</v>
      </c>
      <c r="R6" s="137">
        <f t="shared" si="6"/>
        <v>1317430.942</v>
      </c>
      <c r="S6" s="152">
        <f t="shared" si="7"/>
        <v>1.033791606</v>
      </c>
      <c r="T6" s="14"/>
      <c r="U6" s="14" t="s">
        <v>92</v>
      </c>
    </row>
    <row r="7" ht="37.5" customHeight="1">
      <c r="A7" s="136"/>
      <c r="B7" s="14" t="s">
        <v>2041</v>
      </c>
      <c r="C7" s="14" t="s">
        <v>2042</v>
      </c>
      <c r="D7" s="14" t="s">
        <v>9</v>
      </c>
      <c r="E7" s="137">
        <v>59940.2169197397</v>
      </c>
      <c r="F7" s="137">
        <f t="shared" ref="F7:F8" si="8">J7*1.32</f>
        <v>71928.2603</v>
      </c>
      <c r="G7" s="137">
        <v>56761.56905278381</v>
      </c>
      <c r="H7" s="137">
        <f t="shared" ref="H7:H8" si="9">J7*1.25</f>
        <v>68113.88286</v>
      </c>
      <c r="I7" s="137">
        <v>45409.255242227046</v>
      </c>
      <c r="J7" s="137">
        <f t="shared" si="3"/>
        <v>54491.10629</v>
      </c>
      <c r="K7" s="184">
        <v>62801.0</v>
      </c>
      <c r="L7" s="184">
        <f t="shared" si="4"/>
        <v>75361.2</v>
      </c>
      <c r="M7" s="185">
        <v>1.2</v>
      </c>
      <c r="N7" s="185">
        <v>1.383</v>
      </c>
      <c r="O7" s="186">
        <v>29.0</v>
      </c>
      <c r="P7" s="137">
        <f t="shared" ref="P7:P8" si="10">R7*1.32</f>
        <v>2884826.736</v>
      </c>
      <c r="Q7" s="137">
        <v>1821229.0</v>
      </c>
      <c r="R7" s="137">
        <f t="shared" si="6"/>
        <v>2185474.8</v>
      </c>
      <c r="S7" s="152">
        <f t="shared" si="7"/>
        <v>1.2</v>
      </c>
      <c r="T7" s="14"/>
      <c r="U7" s="14" t="s">
        <v>167</v>
      </c>
    </row>
    <row r="8" ht="37.5" customHeight="1">
      <c r="A8" s="136"/>
      <c r="B8" s="14" t="s">
        <v>2041</v>
      </c>
      <c r="C8" s="14" t="s">
        <v>17</v>
      </c>
      <c r="D8" s="14" t="s">
        <v>9</v>
      </c>
      <c r="E8" s="137">
        <v>58661.444557477116</v>
      </c>
      <c r="F8" s="137">
        <f t="shared" si="8"/>
        <v>67460.66124</v>
      </c>
      <c r="G8" s="137">
        <v>55550.61037639878</v>
      </c>
      <c r="H8" s="137">
        <f t="shared" si="9"/>
        <v>63883.20193</v>
      </c>
      <c r="I8" s="137">
        <v>44440.488301119025</v>
      </c>
      <c r="J8" s="137">
        <f t="shared" si="3"/>
        <v>51106.56155</v>
      </c>
      <c r="K8" s="184">
        <v>43685.0</v>
      </c>
      <c r="L8" s="184">
        <f t="shared" si="4"/>
        <v>50237.75</v>
      </c>
      <c r="M8" s="185">
        <v>1.15</v>
      </c>
      <c r="N8" s="185">
        <v>0.983</v>
      </c>
      <c r="O8" s="186">
        <v>29.0</v>
      </c>
      <c r="P8" s="137">
        <f t="shared" si="10"/>
        <v>1923101.07</v>
      </c>
      <c r="Q8" s="137">
        <v>1266865.0</v>
      </c>
      <c r="R8" s="137">
        <f t="shared" si="6"/>
        <v>1456894.75</v>
      </c>
      <c r="S8" s="152">
        <f t="shared" si="7"/>
        <v>1.15</v>
      </c>
      <c r="T8" s="14"/>
      <c r="U8" s="14" t="s">
        <v>167</v>
      </c>
    </row>
    <row r="9" ht="37.5" customHeight="1">
      <c r="A9" s="136"/>
      <c r="B9" s="14" t="s">
        <v>2002</v>
      </c>
      <c r="C9" s="14" t="s">
        <v>13</v>
      </c>
      <c r="D9" s="14" t="s">
        <v>9</v>
      </c>
      <c r="E9" s="137">
        <v>69037.74436090226</v>
      </c>
      <c r="F9" s="137">
        <f t="shared" ref="F9:F12" si="11">J9*1.94</f>
        <v>69037.74436</v>
      </c>
      <c r="G9" s="137">
        <v>55514.887218045114</v>
      </c>
      <c r="H9" s="137">
        <f t="shared" ref="H9:H12" si="12">J9*1.56</f>
        <v>55514.88722</v>
      </c>
      <c r="I9" s="137">
        <v>35586.466165413534</v>
      </c>
      <c r="J9" s="137">
        <f t="shared" si="3"/>
        <v>35586.46617</v>
      </c>
      <c r="K9" s="184">
        <v>4733.0</v>
      </c>
      <c r="L9" s="184">
        <f t="shared" si="4"/>
        <v>4733</v>
      </c>
      <c r="M9" s="185">
        <v>1.0</v>
      </c>
      <c r="N9" s="185">
        <v>0.133</v>
      </c>
      <c r="O9" s="186">
        <v>535.0</v>
      </c>
      <c r="P9" s="137">
        <f t="shared" ref="P9:P12" si="13">R9*1.94</f>
        <v>4912380.7</v>
      </c>
      <c r="Q9" s="137">
        <v>2366500.0</v>
      </c>
      <c r="R9" s="137">
        <f t="shared" si="6"/>
        <v>2532155</v>
      </c>
      <c r="S9" s="152">
        <f t="shared" si="7"/>
        <v>1.07</v>
      </c>
      <c r="T9" s="14"/>
      <c r="U9" s="14" t="s">
        <v>92</v>
      </c>
    </row>
    <row r="10" ht="37.5" customHeight="1">
      <c r="A10" s="136"/>
      <c r="B10" s="14" t="s">
        <v>2002</v>
      </c>
      <c r="C10" s="14" t="s">
        <v>16</v>
      </c>
      <c r="D10" s="14" t="s">
        <v>9</v>
      </c>
      <c r="E10" s="137">
        <v>75000.4</v>
      </c>
      <c r="F10" s="137">
        <f t="shared" si="11"/>
        <v>75000.4</v>
      </c>
      <c r="G10" s="137">
        <v>60309.6</v>
      </c>
      <c r="H10" s="137">
        <f t="shared" si="12"/>
        <v>60309.6</v>
      </c>
      <c r="I10" s="137">
        <v>38660.0</v>
      </c>
      <c r="J10" s="137">
        <f t="shared" si="3"/>
        <v>38660</v>
      </c>
      <c r="K10" s="184">
        <v>3866.0</v>
      </c>
      <c r="L10" s="184">
        <f t="shared" si="4"/>
        <v>3866</v>
      </c>
      <c r="M10" s="185">
        <v>1.0</v>
      </c>
      <c r="N10" s="185">
        <v>0.1</v>
      </c>
      <c r="O10" s="186">
        <v>600.0</v>
      </c>
      <c r="P10" s="137">
        <f t="shared" si="13"/>
        <v>4500024</v>
      </c>
      <c r="Q10" s="137">
        <v>2280940.0</v>
      </c>
      <c r="R10" s="137">
        <f t="shared" si="6"/>
        <v>2319600</v>
      </c>
      <c r="S10" s="152">
        <f t="shared" si="7"/>
        <v>1.016949153</v>
      </c>
      <c r="T10" s="14"/>
      <c r="U10" s="14" t="s">
        <v>92</v>
      </c>
    </row>
    <row r="11" ht="37.5" customHeight="1">
      <c r="A11" s="136"/>
      <c r="B11" s="14" t="s">
        <v>2002</v>
      </c>
      <c r="C11" s="14" t="s">
        <v>264</v>
      </c>
      <c r="D11" s="14" t="s">
        <v>9</v>
      </c>
      <c r="E11" s="137">
        <v>63752.814371257475</v>
      </c>
      <c r="F11" s="137">
        <f t="shared" si="11"/>
        <v>63752.81437</v>
      </c>
      <c r="G11" s="137">
        <v>51265.1497005988</v>
      </c>
      <c r="H11" s="137">
        <f t="shared" si="12"/>
        <v>51265.1497</v>
      </c>
      <c r="I11" s="137">
        <v>32862.27544910179</v>
      </c>
      <c r="J11" s="137">
        <f t="shared" si="3"/>
        <v>32862.27545</v>
      </c>
      <c r="K11" s="184">
        <v>5488.0</v>
      </c>
      <c r="L11" s="184">
        <f t="shared" si="4"/>
        <v>5488</v>
      </c>
      <c r="M11" s="185">
        <v>1.0</v>
      </c>
      <c r="N11" s="185">
        <v>0.167</v>
      </c>
      <c r="O11" s="186">
        <v>500.0</v>
      </c>
      <c r="P11" s="137">
        <f t="shared" si="13"/>
        <v>5323360</v>
      </c>
      <c r="Q11" s="137">
        <v>2727536.0</v>
      </c>
      <c r="R11" s="137">
        <f t="shared" si="6"/>
        <v>2744000</v>
      </c>
      <c r="S11" s="152">
        <f t="shared" si="7"/>
        <v>1.006036217</v>
      </c>
      <c r="T11" s="14"/>
      <c r="U11" s="14" t="s">
        <v>92</v>
      </c>
    </row>
    <row r="12" ht="37.5" customHeight="1">
      <c r="A12" s="136"/>
      <c r="B12" s="14" t="s">
        <v>2002</v>
      </c>
      <c r="C12" s="14" t="s">
        <v>1998</v>
      </c>
      <c r="D12" s="14" t="s">
        <v>9</v>
      </c>
      <c r="E12" s="137">
        <v>78468.6567164179</v>
      </c>
      <c r="F12" s="137">
        <f t="shared" si="11"/>
        <v>81607.40299</v>
      </c>
      <c r="G12" s="137">
        <v>63098.50746268656</v>
      </c>
      <c r="H12" s="137">
        <f t="shared" si="12"/>
        <v>65622.44776</v>
      </c>
      <c r="I12" s="137">
        <v>40447.761194029845</v>
      </c>
      <c r="J12" s="137">
        <f t="shared" si="3"/>
        <v>42065.67164</v>
      </c>
      <c r="K12" s="184">
        <v>2710.0</v>
      </c>
      <c r="L12" s="184">
        <f t="shared" si="4"/>
        <v>2818.4</v>
      </c>
      <c r="M12" s="185">
        <v>1.04</v>
      </c>
      <c r="N12" s="185">
        <v>0.067</v>
      </c>
      <c r="O12" s="186">
        <v>750.0</v>
      </c>
      <c r="P12" s="137">
        <f t="shared" si="13"/>
        <v>4100772</v>
      </c>
      <c r="Q12" s="137">
        <v>2010820.0</v>
      </c>
      <c r="R12" s="137">
        <f t="shared" si="6"/>
        <v>2113800</v>
      </c>
      <c r="S12" s="152">
        <f t="shared" si="7"/>
        <v>1.051212938</v>
      </c>
      <c r="T12" s="14"/>
      <c r="U12" s="14" t="s">
        <v>120</v>
      </c>
    </row>
    <row r="13" ht="37.5" customHeight="1">
      <c r="A13" s="136"/>
      <c r="B13" s="14" t="s">
        <v>1999</v>
      </c>
      <c r="C13" s="14" t="s">
        <v>2381</v>
      </c>
      <c r="D13" s="14" t="s">
        <v>9</v>
      </c>
      <c r="E13" s="137">
        <v>120052.19053786321</v>
      </c>
      <c r="F13" s="137">
        <f t="shared" ref="F13:F16" si="14">J13/1.278*1.28+J13/1.278*0.278*6</f>
        <v>120052.1905</v>
      </c>
      <c r="G13" s="137">
        <v>99772.00366952675</v>
      </c>
      <c r="H13" s="137">
        <f t="shared" ref="H13:H16" si="15">J13/1.278*1.06+J13/1.278*0.278*5</f>
        <v>99772.00367</v>
      </c>
      <c r="I13" s="137">
        <v>52044.33497536946</v>
      </c>
      <c r="J13" s="137">
        <f t="shared" si="3"/>
        <v>52044.33498</v>
      </c>
      <c r="K13" s="184">
        <v>116215.0</v>
      </c>
      <c r="L13" s="184">
        <f t="shared" si="4"/>
        <v>116215</v>
      </c>
      <c r="M13" s="185">
        <v>1.0</v>
      </c>
      <c r="N13" s="185">
        <v>2.233</v>
      </c>
      <c r="O13" s="186">
        <v>12.0</v>
      </c>
      <c r="P13" s="137">
        <f t="shared" ref="P13:P16" si="16">R13/1.278*1.28+R13/1.278*0.278*6</f>
        <v>3216918.498</v>
      </c>
      <c r="Q13" s="137">
        <v>1162150.0</v>
      </c>
      <c r="R13" s="137">
        <f t="shared" si="6"/>
        <v>1394580</v>
      </c>
      <c r="S13" s="152">
        <f t="shared" si="7"/>
        <v>1.2</v>
      </c>
      <c r="T13" s="14"/>
      <c r="U13" s="14" t="s">
        <v>92</v>
      </c>
    </row>
    <row r="14" ht="37.5" customHeight="1">
      <c r="A14" s="136"/>
      <c r="B14" s="14" t="s">
        <v>1999</v>
      </c>
      <c r="C14" s="14" t="s">
        <v>2382</v>
      </c>
      <c r="D14" s="14" t="s">
        <v>9</v>
      </c>
      <c r="E14" s="137">
        <v>120052.19053786321</v>
      </c>
      <c r="F14" s="137">
        <f t="shared" si="14"/>
        <v>123053.4953</v>
      </c>
      <c r="G14" s="137">
        <v>99772.00366952675</v>
      </c>
      <c r="H14" s="137">
        <f t="shared" si="15"/>
        <v>102266.3038</v>
      </c>
      <c r="I14" s="137">
        <v>52044.33497536946</v>
      </c>
      <c r="J14" s="137">
        <f t="shared" si="3"/>
        <v>53345.44335</v>
      </c>
      <c r="K14" s="184">
        <v>116215.0</v>
      </c>
      <c r="L14" s="184">
        <f t="shared" si="4"/>
        <v>119120.375</v>
      </c>
      <c r="M14" s="150">
        <v>1.025</v>
      </c>
      <c r="N14" s="185">
        <v>2.233</v>
      </c>
      <c r="O14" s="186">
        <v>11.0</v>
      </c>
      <c r="P14" s="137">
        <f t="shared" si="16"/>
        <v>3022563.005</v>
      </c>
      <c r="Q14" s="137">
        <v>1278365.0</v>
      </c>
      <c r="R14" s="137">
        <f t="shared" si="6"/>
        <v>1310324.125</v>
      </c>
      <c r="S14" s="152">
        <f t="shared" si="7"/>
        <v>1.025</v>
      </c>
      <c r="T14" s="14"/>
      <c r="U14" s="14" t="s">
        <v>71</v>
      </c>
    </row>
    <row r="15" ht="37.5" customHeight="1">
      <c r="A15" s="136"/>
      <c r="B15" s="14" t="s">
        <v>1999</v>
      </c>
      <c r="C15" s="14" t="s">
        <v>2383</v>
      </c>
      <c r="D15" s="14" t="s">
        <v>9</v>
      </c>
      <c r="E15" s="137">
        <v>112393.39485186982</v>
      </c>
      <c r="F15" s="137">
        <f t="shared" si="14"/>
        <v>117050.8858</v>
      </c>
      <c r="G15" s="137">
        <v>93406.99368625545</v>
      </c>
      <c r="H15" s="137">
        <f t="shared" si="15"/>
        <v>97277.70358</v>
      </c>
      <c r="I15" s="137">
        <v>48724.13793103448</v>
      </c>
      <c r="J15" s="137">
        <f t="shared" si="3"/>
        <v>50743.2266</v>
      </c>
      <c r="K15" s="184">
        <v>108801.0</v>
      </c>
      <c r="L15" s="184">
        <f t="shared" si="4"/>
        <v>113309.625</v>
      </c>
      <c r="M15" s="150">
        <f>116215/108801*0.975</f>
        <v>1.041439187</v>
      </c>
      <c r="N15" s="185">
        <v>2.233</v>
      </c>
      <c r="O15" s="128">
        <v>13.0</v>
      </c>
      <c r="P15" s="137">
        <f t="shared" si="16"/>
        <v>3397870.163</v>
      </c>
      <c r="Q15" s="137">
        <v>1414413.0</v>
      </c>
      <c r="R15" s="137">
        <f t="shared" si="6"/>
        <v>1473025.125</v>
      </c>
      <c r="S15" s="152">
        <f t="shared" si="7"/>
        <v>1.041439187</v>
      </c>
      <c r="T15" s="14"/>
      <c r="U15" s="14" t="s">
        <v>120</v>
      </c>
    </row>
    <row r="16" ht="37.5" customHeight="1">
      <c r="A16" s="136"/>
      <c r="B16" s="14" t="s">
        <v>1999</v>
      </c>
      <c r="C16" s="14" t="s">
        <v>2384</v>
      </c>
      <c r="D16" s="14" t="s">
        <v>9</v>
      </c>
      <c r="E16" s="137">
        <v>106567.17315386572</v>
      </c>
      <c r="F16" s="137">
        <f t="shared" si="14"/>
        <v>114079.2803</v>
      </c>
      <c r="G16" s="137">
        <v>88564.98447319234</v>
      </c>
      <c r="H16" s="137">
        <f t="shared" si="15"/>
        <v>94808.08571</v>
      </c>
      <c r="I16" s="137">
        <v>46198.38781907747</v>
      </c>
      <c r="J16" s="137">
        <f t="shared" si="3"/>
        <v>49454.99328</v>
      </c>
      <c r="K16" s="184">
        <v>103161.0</v>
      </c>
      <c r="L16" s="184">
        <f t="shared" si="4"/>
        <v>110433</v>
      </c>
      <c r="M16" s="150">
        <f>110433/103161</f>
        <v>1.070491756</v>
      </c>
      <c r="N16" s="185">
        <v>2.233</v>
      </c>
      <c r="O16" s="128">
        <v>14.0</v>
      </c>
      <c r="P16" s="137">
        <f t="shared" si="16"/>
        <v>3566346.46</v>
      </c>
      <c r="Q16" s="137">
        <v>1341093.0</v>
      </c>
      <c r="R16" s="137">
        <f t="shared" si="6"/>
        <v>1546062</v>
      </c>
      <c r="S16" s="152">
        <f t="shared" si="7"/>
        <v>1.152837275</v>
      </c>
      <c r="T16" s="14"/>
      <c r="U16" s="14" t="s">
        <v>120</v>
      </c>
    </row>
    <row r="17" ht="37.5" customHeight="1">
      <c r="A17" s="136"/>
      <c r="B17" s="14" t="s">
        <v>21</v>
      </c>
      <c r="C17" s="14" t="s">
        <v>2385</v>
      </c>
      <c r="D17" s="14" t="s">
        <v>9</v>
      </c>
      <c r="E17" s="137">
        <v>84089.5036685369</v>
      </c>
      <c r="F17" s="137">
        <f t="shared" ref="F17:F22" si="17">J17*1.49</f>
        <v>84089.50367</v>
      </c>
      <c r="G17" s="137">
        <v>66594.37203280102</v>
      </c>
      <c r="H17" s="137">
        <f t="shared" ref="H17:H22" si="18">J17*1.18</f>
        <v>66594.37203</v>
      </c>
      <c r="I17" s="137">
        <v>56435.90850237376</v>
      </c>
      <c r="J17" s="137">
        <f t="shared" si="3"/>
        <v>56435.9085</v>
      </c>
      <c r="K17" s="184">
        <v>130762.0</v>
      </c>
      <c r="L17" s="184">
        <f t="shared" si="4"/>
        <v>130762</v>
      </c>
      <c r="M17" s="185">
        <v>1.0</v>
      </c>
      <c r="N17" s="185">
        <v>2.317</v>
      </c>
      <c r="O17" s="186">
        <v>77.0</v>
      </c>
      <c r="P17" s="137">
        <f t="shared" ref="P17:P22" si="19">R17*1.49</f>
        <v>2500387.377</v>
      </c>
      <c r="Q17" s="137">
        <v>1678112.3333333335</v>
      </c>
      <c r="R17" s="137">
        <f>O17/6*L17</f>
        <v>1678112.333</v>
      </c>
      <c r="S17" s="152">
        <f t="shared" si="7"/>
        <v>1</v>
      </c>
      <c r="T17" s="14"/>
      <c r="U17" s="14" t="s">
        <v>92</v>
      </c>
    </row>
    <row r="18" ht="37.5" customHeight="1">
      <c r="A18" s="136"/>
      <c r="B18" s="14" t="s">
        <v>21</v>
      </c>
      <c r="C18" s="14" t="s">
        <v>2386</v>
      </c>
      <c r="D18" s="14" t="s">
        <v>9</v>
      </c>
      <c r="E18" s="137">
        <v>69994.05196412001</v>
      </c>
      <c r="F18" s="137">
        <f t="shared" si="17"/>
        <v>78393.3382</v>
      </c>
      <c r="G18" s="137">
        <v>55431.53108567894</v>
      </c>
      <c r="H18" s="137">
        <f t="shared" si="18"/>
        <v>62083.31482</v>
      </c>
      <c r="I18" s="137">
        <v>46975.87380142283</v>
      </c>
      <c r="J18" s="137">
        <f t="shared" si="3"/>
        <v>52612.97866</v>
      </c>
      <c r="K18" s="184">
        <v>151873.0</v>
      </c>
      <c r="L18" s="184">
        <f t="shared" si="4"/>
        <v>170097.76</v>
      </c>
      <c r="M18" s="185">
        <v>1.12</v>
      </c>
      <c r="N18" s="185">
        <v>3.233</v>
      </c>
      <c r="O18" s="186">
        <v>65.0</v>
      </c>
      <c r="P18" s="137">
        <f t="shared" si="19"/>
        <v>3294793.611</v>
      </c>
      <c r="Q18" s="137">
        <v>2065472.8</v>
      </c>
      <c r="R18" s="137">
        <f>O18/5*L18</f>
        <v>2211270.88</v>
      </c>
      <c r="S18" s="152">
        <f t="shared" si="7"/>
        <v>1.070588235</v>
      </c>
      <c r="T18" s="14"/>
      <c r="U18" s="14" t="s">
        <v>120</v>
      </c>
    </row>
    <row r="19" ht="37.5" customHeight="1">
      <c r="A19" s="136"/>
      <c r="B19" s="14" t="s">
        <v>21</v>
      </c>
      <c r="C19" s="14" t="s">
        <v>2387</v>
      </c>
      <c r="D19" s="14" t="s">
        <v>9</v>
      </c>
      <c r="E19" s="137">
        <v>85592.6304973284</v>
      </c>
      <c r="F19" s="137">
        <f t="shared" si="17"/>
        <v>85592.6305</v>
      </c>
      <c r="G19" s="137">
        <v>67784.76777640772</v>
      </c>
      <c r="H19" s="137">
        <f t="shared" si="18"/>
        <v>67784.76778</v>
      </c>
      <c r="I19" s="137">
        <v>57444.71845458282</v>
      </c>
      <c r="J19" s="137">
        <f t="shared" si="3"/>
        <v>57444.71845</v>
      </c>
      <c r="K19" s="184">
        <v>139763.0</v>
      </c>
      <c r="L19" s="184">
        <f t="shared" si="4"/>
        <v>139763</v>
      </c>
      <c r="M19" s="185">
        <v>1.0</v>
      </c>
      <c r="N19" s="185">
        <v>2.433</v>
      </c>
      <c r="O19" s="186">
        <v>77.0</v>
      </c>
      <c r="P19" s="137">
        <f t="shared" si="19"/>
        <v>2672501.498</v>
      </c>
      <c r="Q19" s="137">
        <v>1793625.1666666667</v>
      </c>
      <c r="R19" s="137">
        <f>O19/6*L19</f>
        <v>1793625.167</v>
      </c>
      <c r="S19" s="152">
        <f t="shared" si="7"/>
        <v>1</v>
      </c>
      <c r="T19" s="14"/>
      <c r="U19" s="14" t="s">
        <v>92</v>
      </c>
    </row>
    <row r="20" ht="37.5" customHeight="1">
      <c r="A20" s="136"/>
      <c r="B20" s="14" t="s">
        <v>21</v>
      </c>
      <c r="C20" s="14" t="s">
        <v>2388</v>
      </c>
      <c r="D20" s="14" t="s">
        <v>9</v>
      </c>
      <c r="E20" s="137">
        <v>75951.63090128754</v>
      </c>
      <c r="F20" s="137">
        <f t="shared" si="17"/>
        <v>75951.6309</v>
      </c>
      <c r="G20" s="137">
        <v>60149.61373390557</v>
      </c>
      <c r="H20" s="137">
        <f t="shared" si="18"/>
        <v>60149.61373</v>
      </c>
      <c r="I20" s="137">
        <v>50974.24892703862</v>
      </c>
      <c r="J20" s="137">
        <f t="shared" si="3"/>
        <v>50974.24893</v>
      </c>
      <c r="K20" s="184">
        <v>23754.0</v>
      </c>
      <c r="L20" s="184">
        <f t="shared" si="4"/>
        <v>23754</v>
      </c>
      <c r="M20" s="185">
        <v>1.0</v>
      </c>
      <c r="N20" s="185">
        <v>0.466</v>
      </c>
      <c r="O20" s="186">
        <v>95.0</v>
      </c>
      <c r="P20" s="137">
        <f t="shared" si="19"/>
        <v>3362378.7</v>
      </c>
      <c r="Q20" s="137">
        <v>2137860.0</v>
      </c>
      <c r="R20" s="137">
        <f>O20*L20</f>
        <v>2256630</v>
      </c>
      <c r="S20" s="152">
        <f t="shared" si="7"/>
        <v>1.055555556</v>
      </c>
      <c r="T20" s="14"/>
      <c r="U20" s="14" t="s">
        <v>120</v>
      </c>
    </row>
    <row r="21" ht="37.5" customHeight="1">
      <c r="A21" s="136"/>
      <c r="B21" s="14" t="s">
        <v>21</v>
      </c>
      <c r="C21" s="14" t="s">
        <v>2389</v>
      </c>
      <c r="D21" s="14" t="s">
        <v>9</v>
      </c>
      <c r="E21" s="137">
        <v>73907.79272727272</v>
      </c>
      <c r="F21" s="137">
        <f t="shared" si="17"/>
        <v>88689.35127</v>
      </c>
      <c r="G21" s="137">
        <v>58531.00363636363</v>
      </c>
      <c r="H21" s="137">
        <f t="shared" si="18"/>
        <v>70237.20436</v>
      </c>
      <c r="I21" s="137">
        <v>49602.545454545456</v>
      </c>
      <c r="J21" s="137">
        <f t="shared" si="3"/>
        <v>59523.05455</v>
      </c>
      <c r="K21" s="184">
        <v>136407.0</v>
      </c>
      <c r="L21" s="184">
        <f t="shared" si="4"/>
        <v>163688.4</v>
      </c>
      <c r="M21" s="185">
        <v>1.2</v>
      </c>
      <c r="N21" s="185">
        <v>2.75</v>
      </c>
      <c r="O21" s="186">
        <v>77.0</v>
      </c>
      <c r="P21" s="137">
        <f t="shared" si="19"/>
        <v>2347496.267</v>
      </c>
      <c r="Q21" s="137">
        <v>1312917.375</v>
      </c>
      <c r="R21" s="137">
        <f>O21/8*L21</f>
        <v>1575500.85</v>
      </c>
      <c r="S21" s="152">
        <f t="shared" si="7"/>
        <v>1.2</v>
      </c>
      <c r="T21" s="14"/>
      <c r="U21" s="14" t="s">
        <v>136</v>
      </c>
    </row>
    <row r="22" ht="37.5" customHeight="1">
      <c r="A22" s="136"/>
      <c r="B22" s="14" t="s">
        <v>21</v>
      </c>
      <c r="C22" s="14" t="s">
        <v>2390</v>
      </c>
      <c r="D22" s="14" t="s">
        <v>9</v>
      </c>
      <c r="E22" s="137">
        <v>99781.69084537888</v>
      </c>
      <c r="F22" s="137">
        <f t="shared" si="17"/>
        <v>94792.6063</v>
      </c>
      <c r="G22" s="137">
        <v>79021.74174332018</v>
      </c>
      <c r="H22" s="137">
        <f t="shared" si="18"/>
        <v>75070.65466</v>
      </c>
      <c r="I22" s="137">
        <v>66967.57774857643</v>
      </c>
      <c r="J22" s="137">
        <f t="shared" si="3"/>
        <v>63619.19886</v>
      </c>
      <c r="K22" s="184">
        <f>20297*1.17*2+105392</f>
        <v>152886.98</v>
      </c>
      <c r="L22" s="184">
        <f t="shared" si="4"/>
        <v>145242.631</v>
      </c>
      <c r="M22" s="185">
        <v>0.95</v>
      </c>
      <c r="N22" s="185">
        <v>2.283</v>
      </c>
      <c r="O22" s="186">
        <v>77.0</v>
      </c>
      <c r="P22" s="137">
        <f t="shared" si="19"/>
        <v>2777281.176</v>
      </c>
      <c r="Q22" s="137">
        <v>1962049.5766666664</v>
      </c>
      <c r="R22" s="137">
        <f>O22/6*L22</f>
        <v>1863947.098</v>
      </c>
      <c r="S22" s="152">
        <f t="shared" si="7"/>
        <v>0.95</v>
      </c>
      <c r="T22" s="14"/>
      <c r="U22" s="14" t="s">
        <v>92</v>
      </c>
    </row>
    <row r="23" ht="37.5" customHeight="1">
      <c r="A23" s="136"/>
      <c r="B23" s="14" t="s">
        <v>2010</v>
      </c>
      <c r="C23" s="14" t="s">
        <v>13</v>
      </c>
      <c r="D23" s="14" t="s">
        <v>26</v>
      </c>
      <c r="E23" s="137">
        <v>18514.982045952</v>
      </c>
      <c r="F23" s="137">
        <f t="shared" ref="F23:F28" si="20">J23*1.79</f>
        <v>19537.13222</v>
      </c>
      <c r="G23" s="137">
        <v>15618.783737087999</v>
      </c>
      <c r="H23" s="137">
        <f t="shared" ref="H23:H28" si="21">J23*1.51</f>
        <v>16481.0445</v>
      </c>
      <c r="I23" s="137">
        <v>10343.5653888</v>
      </c>
      <c r="J23" s="137">
        <f t="shared" ref="J23:J57" si="22">L23</f>
        <v>10914.599</v>
      </c>
      <c r="K23" s="137">
        <v>10343.5653888</v>
      </c>
      <c r="L23" s="137">
        <f t="shared" si="4"/>
        <v>10914.599</v>
      </c>
      <c r="M23" s="150">
        <f>19767/1.032/18515*1.02</f>
        <v>1.055206652</v>
      </c>
      <c r="N23" s="141" t="s">
        <v>12</v>
      </c>
      <c r="O23" s="137" t="s">
        <v>2012</v>
      </c>
      <c r="P23" s="137" t="s">
        <v>2012</v>
      </c>
      <c r="Q23" s="137" t="s">
        <v>2012</v>
      </c>
      <c r="R23" s="137" t="s">
        <v>2012</v>
      </c>
      <c r="S23" s="137" t="s">
        <v>2012</v>
      </c>
      <c r="T23" s="14"/>
      <c r="U23" s="14" t="s">
        <v>167</v>
      </c>
    </row>
    <row r="24" ht="37.5" customHeight="1">
      <c r="A24" s="136"/>
      <c r="B24" s="14" t="s">
        <v>2010</v>
      </c>
      <c r="C24" s="14" t="s">
        <v>264</v>
      </c>
      <c r="D24" s="14" t="s">
        <v>26</v>
      </c>
      <c r="E24" s="137">
        <v>17452.697196424</v>
      </c>
      <c r="F24" s="137">
        <f t="shared" si="20"/>
        <v>18343.86778</v>
      </c>
      <c r="G24" s="137">
        <v>14722.666350055999</v>
      </c>
      <c r="H24" s="137">
        <f t="shared" si="21"/>
        <v>15474.43595</v>
      </c>
      <c r="I24" s="137">
        <v>9750.1101656</v>
      </c>
      <c r="J24" s="137">
        <f t="shared" si="22"/>
        <v>10247.97083</v>
      </c>
      <c r="K24" s="137">
        <v>9750.1101656</v>
      </c>
      <c r="L24" s="137">
        <f t="shared" si="4"/>
        <v>10247.97083</v>
      </c>
      <c r="M24" s="150">
        <f>18560/1.032/17453*1.02</f>
        <v>1.051062055</v>
      </c>
      <c r="N24" s="141" t="s">
        <v>12</v>
      </c>
      <c r="O24" s="137" t="s">
        <v>2012</v>
      </c>
      <c r="P24" s="137" t="s">
        <v>2012</v>
      </c>
      <c r="Q24" s="137" t="s">
        <v>2012</v>
      </c>
      <c r="R24" s="137" t="s">
        <v>2012</v>
      </c>
      <c r="S24" s="137" t="s">
        <v>2012</v>
      </c>
      <c r="T24" s="14"/>
      <c r="U24" s="14" t="s">
        <v>423</v>
      </c>
    </row>
    <row r="25" ht="37.5" customHeight="1">
      <c r="A25" s="136"/>
      <c r="B25" s="14" t="s">
        <v>2010</v>
      </c>
      <c r="C25" s="14" t="s">
        <v>24</v>
      </c>
      <c r="D25" s="14" t="s">
        <v>26</v>
      </c>
      <c r="E25" s="137">
        <v>19767.069952168</v>
      </c>
      <c r="F25" s="137">
        <f t="shared" si="20"/>
        <v>20162.41135</v>
      </c>
      <c r="G25" s="137">
        <v>16675.014317192</v>
      </c>
      <c r="H25" s="137">
        <f t="shared" si="21"/>
        <v>17008.5146</v>
      </c>
      <c r="I25" s="137">
        <v>11043.0558392</v>
      </c>
      <c r="J25" s="137">
        <f t="shared" si="22"/>
        <v>11263.91696</v>
      </c>
      <c r="K25" s="137">
        <v>11043.0558392</v>
      </c>
      <c r="L25" s="137">
        <f t="shared" si="4"/>
        <v>11263.91696</v>
      </c>
      <c r="M25" s="150">
        <v>1.02</v>
      </c>
      <c r="N25" s="141" t="s">
        <v>12</v>
      </c>
      <c r="O25" s="137" t="s">
        <v>2012</v>
      </c>
      <c r="P25" s="137" t="s">
        <v>2012</v>
      </c>
      <c r="Q25" s="137" t="s">
        <v>2012</v>
      </c>
      <c r="R25" s="137" t="s">
        <v>2012</v>
      </c>
      <c r="S25" s="137" t="s">
        <v>2012</v>
      </c>
      <c r="T25" s="14"/>
      <c r="U25" s="14" t="s">
        <v>167</v>
      </c>
    </row>
    <row r="26" ht="37.5" customHeight="1">
      <c r="A26" s="136"/>
      <c r="B26" s="14" t="s">
        <v>2010</v>
      </c>
      <c r="C26" s="14" t="s">
        <v>17</v>
      </c>
      <c r="D26" s="14" t="s">
        <v>26</v>
      </c>
      <c r="E26" s="137">
        <v>17786.38321544</v>
      </c>
      <c r="F26" s="137">
        <f t="shared" si="20"/>
        <v>18931.68696</v>
      </c>
      <c r="G26" s="137">
        <v>15004.155673360001</v>
      </c>
      <c r="H26" s="137">
        <f t="shared" si="21"/>
        <v>15970.30576</v>
      </c>
      <c r="I26" s="137">
        <v>9936.526936</v>
      </c>
      <c r="J26" s="137">
        <f t="shared" si="22"/>
        <v>10576.36143</v>
      </c>
      <c r="K26" s="137">
        <v>9936.526936</v>
      </c>
      <c r="L26" s="137">
        <f t="shared" si="4"/>
        <v>10576.36143</v>
      </c>
      <c r="M26" s="150">
        <f>19154/1.032/17786*1.02</f>
        <v>1.064392166</v>
      </c>
      <c r="N26" s="141" t="s">
        <v>12</v>
      </c>
      <c r="O26" s="137" t="s">
        <v>2012</v>
      </c>
      <c r="P26" s="137" t="s">
        <v>2012</v>
      </c>
      <c r="Q26" s="137" t="s">
        <v>2012</v>
      </c>
      <c r="R26" s="137" t="s">
        <v>2012</v>
      </c>
      <c r="S26" s="137" t="s">
        <v>2012</v>
      </c>
      <c r="T26" s="14"/>
      <c r="U26" s="14" t="s">
        <v>423</v>
      </c>
    </row>
    <row r="27" ht="37.5" customHeight="1">
      <c r="A27" s="136"/>
      <c r="B27" s="14" t="s">
        <v>2010</v>
      </c>
      <c r="C27" s="14" t="s">
        <v>1998</v>
      </c>
      <c r="D27" s="14" t="s">
        <v>26</v>
      </c>
      <c r="E27" s="137">
        <v>19767.069952168</v>
      </c>
      <c r="F27" s="137">
        <f t="shared" si="20"/>
        <v>20162.41135</v>
      </c>
      <c r="G27" s="137">
        <v>16675.014317192</v>
      </c>
      <c r="H27" s="137">
        <f t="shared" si="21"/>
        <v>17008.5146</v>
      </c>
      <c r="I27" s="137">
        <v>11043.0558392</v>
      </c>
      <c r="J27" s="137">
        <f t="shared" si="22"/>
        <v>11263.91696</v>
      </c>
      <c r="K27" s="137">
        <v>11043.0558392</v>
      </c>
      <c r="L27" s="137">
        <f t="shared" si="4"/>
        <v>11263.91696</v>
      </c>
      <c r="M27" s="150">
        <v>1.02</v>
      </c>
      <c r="N27" s="141" t="s">
        <v>12</v>
      </c>
      <c r="O27" s="137" t="s">
        <v>2012</v>
      </c>
      <c r="P27" s="137" t="s">
        <v>2012</v>
      </c>
      <c r="Q27" s="137" t="s">
        <v>2012</v>
      </c>
      <c r="R27" s="137" t="s">
        <v>2012</v>
      </c>
      <c r="S27" s="137" t="s">
        <v>2012</v>
      </c>
      <c r="T27" s="14"/>
      <c r="U27" s="14" t="s">
        <v>167</v>
      </c>
    </row>
    <row r="28" ht="37.5" customHeight="1">
      <c r="A28" s="136"/>
      <c r="B28" s="14" t="s">
        <v>2010</v>
      </c>
      <c r="C28" s="14" t="s">
        <v>2011</v>
      </c>
      <c r="D28" s="14" t="s">
        <v>26</v>
      </c>
      <c r="E28" s="137">
        <v>20905.888292296</v>
      </c>
      <c r="F28" s="137">
        <f t="shared" si="20"/>
        <v>20905.88829</v>
      </c>
      <c r="G28" s="137">
        <v>17635.693475624</v>
      </c>
      <c r="H28" s="137">
        <f t="shared" si="21"/>
        <v>17635.69348</v>
      </c>
      <c r="I28" s="137">
        <v>11679.2672024</v>
      </c>
      <c r="J28" s="137">
        <f t="shared" si="22"/>
        <v>11679.2672</v>
      </c>
      <c r="K28" s="137">
        <v>11679.2672024</v>
      </c>
      <c r="L28" s="137">
        <f t="shared" si="4"/>
        <v>11679.2672</v>
      </c>
      <c r="M28" s="150">
        <v>1.0</v>
      </c>
      <c r="N28" s="141" t="s">
        <v>12</v>
      </c>
      <c r="O28" s="137" t="s">
        <v>2012</v>
      </c>
      <c r="P28" s="137" t="s">
        <v>2012</v>
      </c>
      <c r="Q28" s="137" t="s">
        <v>2012</v>
      </c>
      <c r="R28" s="137" t="s">
        <v>2012</v>
      </c>
      <c r="S28" s="137" t="s">
        <v>2012</v>
      </c>
      <c r="T28" s="14"/>
      <c r="U28" s="14" t="s">
        <v>120</v>
      </c>
    </row>
    <row r="29" ht="37.5" customHeight="1">
      <c r="A29" s="136"/>
      <c r="B29" s="14" t="s">
        <v>28</v>
      </c>
      <c r="C29" s="14" t="s">
        <v>24</v>
      </c>
      <c r="D29" s="14" t="s">
        <v>26</v>
      </c>
      <c r="E29" s="137">
        <v>18053.352553599998</v>
      </c>
      <c r="F29" s="137">
        <f t="shared" ref="F29:F30" si="23">J29*2</f>
        <v>23469.35832</v>
      </c>
      <c r="G29" s="137">
        <v>12276.279736448</v>
      </c>
      <c r="H29" s="137">
        <f t="shared" ref="H29:H30" si="24">J29*1.36</f>
        <v>15959.16366</v>
      </c>
      <c r="I29" s="137">
        <v>9026.676276799999</v>
      </c>
      <c r="J29" s="137">
        <f t="shared" si="22"/>
        <v>11734.67916</v>
      </c>
      <c r="K29" s="137">
        <v>9026.676276799999</v>
      </c>
      <c r="L29" s="137">
        <f t="shared" si="4"/>
        <v>11734.67916</v>
      </c>
      <c r="M29" s="150">
        <v>1.3</v>
      </c>
      <c r="N29" s="141" t="s">
        <v>12</v>
      </c>
      <c r="O29" s="137" t="s">
        <v>2012</v>
      </c>
      <c r="P29" s="137" t="s">
        <v>2012</v>
      </c>
      <c r="Q29" s="137" t="s">
        <v>2012</v>
      </c>
      <c r="R29" s="137" t="s">
        <v>2012</v>
      </c>
      <c r="S29" s="137" t="s">
        <v>2012</v>
      </c>
      <c r="T29" s="14"/>
      <c r="U29" s="14" t="s">
        <v>167</v>
      </c>
    </row>
    <row r="30" ht="37.5" customHeight="1">
      <c r="A30" s="136"/>
      <c r="B30" s="14" t="s">
        <v>28</v>
      </c>
      <c r="C30" s="14" t="s">
        <v>17</v>
      </c>
      <c r="D30" s="14" t="s">
        <v>26</v>
      </c>
      <c r="E30" s="137">
        <v>17400.0387344</v>
      </c>
      <c r="F30" s="137">
        <f t="shared" si="23"/>
        <v>22620.05035</v>
      </c>
      <c r="G30" s="137">
        <v>11832.026339392001</v>
      </c>
      <c r="H30" s="137">
        <f t="shared" si="24"/>
        <v>15381.63424</v>
      </c>
      <c r="I30" s="137">
        <v>8700.0193672</v>
      </c>
      <c r="J30" s="137">
        <f t="shared" si="22"/>
        <v>11310.02518</v>
      </c>
      <c r="K30" s="137">
        <v>8700.0193672</v>
      </c>
      <c r="L30" s="137">
        <f t="shared" si="4"/>
        <v>11310.02518</v>
      </c>
      <c r="M30" s="150">
        <v>1.3</v>
      </c>
      <c r="N30" s="141" t="s">
        <v>12</v>
      </c>
      <c r="O30" s="137" t="s">
        <v>2012</v>
      </c>
      <c r="P30" s="137" t="s">
        <v>2012</v>
      </c>
      <c r="Q30" s="137" t="s">
        <v>2012</v>
      </c>
      <c r="R30" s="137" t="s">
        <v>2012</v>
      </c>
      <c r="S30" s="137" t="s">
        <v>2012</v>
      </c>
      <c r="T30" s="14"/>
      <c r="U30" s="14" t="s">
        <v>167</v>
      </c>
    </row>
    <row r="31" ht="37.5" customHeight="1">
      <c r="A31" s="136"/>
      <c r="B31" s="14" t="s">
        <v>2013</v>
      </c>
      <c r="C31" s="14" t="s">
        <v>13</v>
      </c>
      <c r="D31" s="14" t="s">
        <v>26</v>
      </c>
      <c r="E31" s="137">
        <v>20682.205270272003</v>
      </c>
      <c r="F31" s="137">
        <f t="shared" ref="F31:F35" si="25">J31*2.47</f>
        <v>20682.20527</v>
      </c>
      <c r="G31" s="137">
        <v>20263.537147392</v>
      </c>
      <c r="H31" s="137">
        <f t="shared" ref="H31:H35" si="26">J31*2.42</f>
        <v>20263.53715</v>
      </c>
      <c r="I31" s="137">
        <v>8373.3624576</v>
      </c>
      <c r="J31" s="137">
        <f t="shared" si="22"/>
        <v>8373.362458</v>
      </c>
      <c r="K31" s="137">
        <v>8373.3624576</v>
      </c>
      <c r="L31" s="137">
        <f t="shared" si="4"/>
        <v>8373.362458</v>
      </c>
      <c r="M31" s="150">
        <v>1.0</v>
      </c>
      <c r="N31" s="141" t="s">
        <v>12</v>
      </c>
      <c r="O31" s="137" t="s">
        <v>2012</v>
      </c>
      <c r="P31" s="137" t="s">
        <v>2012</v>
      </c>
      <c r="Q31" s="137" t="s">
        <v>2012</v>
      </c>
      <c r="R31" s="137" t="s">
        <v>2012</v>
      </c>
      <c r="S31" s="137" t="s">
        <v>2012</v>
      </c>
      <c r="T31" s="128" t="s">
        <v>2391</v>
      </c>
      <c r="U31" s="14" t="s">
        <v>120</v>
      </c>
    </row>
    <row r="32" ht="37.5" customHeight="1">
      <c r="A32" s="136"/>
      <c r="B32" s="14" t="s">
        <v>2013</v>
      </c>
      <c r="C32" s="14" t="s">
        <v>16</v>
      </c>
      <c r="D32" s="14" t="s">
        <v>26</v>
      </c>
      <c r="E32" s="137">
        <v>19980.97036936</v>
      </c>
      <c r="F32" s="137">
        <f t="shared" si="25"/>
        <v>19980.97037</v>
      </c>
      <c r="G32" s="137">
        <v>19576.497284959998</v>
      </c>
      <c r="H32" s="137">
        <f t="shared" si="26"/>
        <v>19576.49728</v>
      </c>
      <c r="I32" s="137">
        <v>8089.461687999999</v>
      </c>
      <c r="J32" s="137">
        <f t="shared" si="22"/>
        <v>8089.461688</v>
      </c>
      <c r="K32" s="137">
        <v>8089.461687999999</v>
      </c>
      <c r="L32" s="137">
        <f t="shared" si="4"/>
        <v>8089.461688</v>
      </c>
      <c r="M32" s="150">
        <v>1.0</v>
      </c>
      <c r="N32" s="141" t="s">
        <v>12</v>
      </c>
      <c r="O32" s="137" t="s">
        <v>2012</v>
      </c>
      <c r="P32" s="137" t="s">
        <v>2012</v>
      </c>
      <c r="Q32" s="137" t="s">
        <v>2012</v>
      </c>
      <c r="R32" s="137" t="s">
        <v>2012</v>
      </c>
      <c r="S32" s="137" t="s">
        <v>2012</v>
      </c>
      <c r="T32" s="128" t="s">
        <v>2392</v>
      </c>
      <c r="U32" s="14" t="s">
        <v>447</v>
      </c>
    </row>
    <row r="33" ht="37.5" customHeight="1">
      <c r="A33" s="136"/>
      <c r="B33" s="14" t="s">
        <v>2013</v>
      </c>
      <c r="C33" s="14" t="s">
        <v>30</v>
      </c>
      <c r="D33" s="14" t="s">
        <v>26</v>
      </c>
      <c r="E33" s="137">
        <v>21176.449146216</v>
      </c>
      <c r="F33" s="137">
        <f t="shared" si="25"/>
        <v>21176.44915</v>
      </c>
      <c r="G33" s="137">
        <v>20747.776086576</v>
      </c>
      <c r="H33" s="137">
        <f t="shared" si="26"/>
        <v>20747.77609</v>
      </c>
      <c r="I33" s="137">
        <v>8573.4611928</v>
      </c>
      <c r="J33" s="137">
        <f t="shared" si="22"/>
        <v>8573.461193</v>
      </c>
      <c r="K33" s="137">
        <v>8573.4611928</v>
      </c>
      <c r="L33" s="137">
        <f t="shared" si="4"/>
        <v>8573.461193</v>
      </c>
      <c r="M33" s="150">
        <v>1.0</v>
      </c>
      <c r="N33" s="141" t="s">
        <v>12</v>
      </c>
      <c r="O33" s="137" t="s">
        <v>2012</v>
      </c>
      <c r="P33" s="137" t="s">
        <v>2012</v>
      </c>
      <c r="Q33" s="137" t="s">
        <v>2012</v>
      </c>
      <c r="R33" s="137" t="s">
        <v>2012</v>
      </c>
      <c r="S33" s="137" t="s">
        <v>2012</v>
      </c>
      <c r="T33" s="128" t="s">
        <v>2391</v>
      </c>
      <c r="U33" s="14" t="s">
        <v>92</v>
      </c>
    </row>
    <row r="34" ht="37.5" customHeight="1">
      <c r="A34" s="136"/>
      <c r="B34" s="14" t="s">
        <v>2013</v>
      </c>
      <c r="C34" s="14" t="s">
        <v>24</v>
      </c>
      <c r="D34" s="14" t="s">
        <v>26</v>
      </c>
      <c r="E34" s="137">
        <v>20682.205270272003</v>
      </c>
      <c r="F34" s="137">
        <f t="shared" si="25"/>
        <v>20682.20527</v>
      </c>
      <c r="G34" s="137">
        <v>20263.537147392</v>
      </c>
      <c r="H34" s="137">
        <f t="shared" si="26"/>
        <v>20263.53715</v>
      </c>
      <c r="I34" s="137">
        <v>8373.3624576</v>
      </c>
      <c r="J34" s="137">
        <f t="shared" si="22"/>
        <v>8373.362458</v>
      </c>
      <c r="K34" s="137">
        <v>8373.3624576</v>
      </c>
      <c r="L34" s="137">
        <f t="shared" si="4"/>
        <v>8373.362458</v>
      </c>
      <c r="M34" s="150">
        <v>1.0</v>
      </c>
      <c r="N34" s="141" t="s">
        <v>12</v>
      </c>
      <c r="O34" s="137" t="s">
        <v>2012</v>
      </c>
      <c r="P34" s="137" t="s">
        <v>2012</v>
      </c>
      <c r="Q34" s="137" t="s">
        <v>2012</v>
      </c>
      <c r="R34" s="137" t="s">
        <v>2012</v>
      </c>
      <c r="S34" s="137" t="s">
        <v>2012</v>
      </c>
      <c r="T34" s="128" t="s">
        <v>2391</v>
      </c>
      <c r="U34" s="14" t="s">
        <v>120</v>
      </c>
    </row>
    <row r="35" ht="37.5" customHeight="1">
      <c r="A35" s="136"/>
      <c r="B35" s="128" t="s">
        <v>2013</v>
      </c>
      <c r="C35" s="14" t="s">
        <v>17</v>
      </c>
      <c r="D35" s="14" t="s">
        <v>26</v>
      </c>
      <c r="E35" s="137">
        <v>23060.489904087997</v>
      </c>
      <c r="F35" s="137">
        <f t="shared" si="25"/>
        <v>23060.4899</v>
      </c>
      <c r="G35" s="137">
        <v>22593.678367567994</v>
      </c>
      <c r="H35" s="137">
        <f t="shared" si="26"/>
        <v>22593.67837</v>
      </c>
      <c r="I35" s="137">
        <v>9336.230730399999</v>
      </c>
      <c r="J35" s="137">
        <f t="shared" si="22"/>
        <v>9336.23073</v>
      </c>
      <c r="K35" s="137">
        <v>9336.230730399999</v>
      </c>
      <c r="L35" s="137">
        <f t="shared" si="4"/>
        <v>9336.23073</v>
      </c>
      <c r="M35" s="150">
        <v>1.0</v>
      </c>
      <c r="N35" s="141" t="s">
        <v>12</v>
      </c>
      <c r="O35" s="137" t="s">
        <v>2012</v>
      </c>
      <c r="P35" s="137" t="s">
        <v>2012</v>
      </c>
      <c r="Q35" s="137" t="s">
        <v>2012</v>
      </c>
      <c r="R35" s="137" t="s">
        <v>2012</v>
      </c>
      <c r="S35" s="137" t="s">
        <v>2012</v>
      </c>
      <c r="T35" s="128" t="s">
        <v>2391</v>
      </c>
      <c r="U35" s="14" t="s">
        <v>120</v>
      </c>
    </row>
    <row r="36" ht="37.5" customHeight="1">
      <c r="A36" s="136"/>
      <c r="B36" s="14" t="s">
        <v>2016</v>
      </c>
      <c r="C36" s="14" t="s">
        <v>13</v>
      </c>
      <c r="D36" s="14" t="s">
        <v>26</v>
      </c>
      <c r="E36" s="137">
        <v>23095.601246256</v>
      </c>
      <c r="F36" s="137">
        <f t="shared" ref="F36:F42" si="27">J36*2.31</f>
        <v>23246.65746</v>
      </c>
      <c r="G36" s="137">
        <v>15197.105581951999</v>
      </c>
      <c r="H36" s="137">
        <f t="shared" ref="H36:H42" si="28">J36*1.52</f>
        <v>15296.50188</v>
      </c>
      <c r="I36" s="137">
        <v>9998.0957776</v>
      </c>
      <c r="J36" s="137">
        <f t="shared" si="22"/>
        <v>10063.48808</v>
      </c>
      <c r="K36" s="137">
        <v>9998.0957776</v>
      </c>
      <c r="L36" s="137">
        <f t="shared" si="4"/>
        <v>10063.48808</v>
      </c>
      <c r="M36" s="150">
        <f>23712/1.02/23096</f>
        <v>1.006540476</v>
      </c>
      <c r="N36" s="141" t="s">
        <v>12</v>
      </c>
      <c r="O36" s="137" t="s">
        <v>2012</v>
      </c>
      <c r="P36" s="137" t="s">
        <v>2012</v>
      </c>
      <c r="Q36" s="137" t="s">
        <v>2012</v>
      </c>
      <c r="R36" s="137" t="s">
        <v>2012</v>
      </c>
      <c r="S36" s="137" t="s">
        <v>2012</v>
      </c>
      <c r="T36" s="14"/>
      <c r="U36" s="14" t="s">
        <v>136</v>
      </c>
    </row>
    <row r="37" ht="37.5" customHeight="1">
      <c r="A37" s="136"/>
      <c r="B37" s="14" t="s">
        <v>2016</v>
      </c>
      <c r="C37" s="14" t="s">
        <v>32</v>
      </c>
      <c r="D37" s="14" t="s">
        <v>26</v>
      </c>
      <c r="E37" s="137">
        <v>22242.25710168</v>
      </c>
      <c r="F37" s="137">
        <f t="shared" si="27"/>
        <v>21906.13557</v>
      </c>
      <c r="G37" s="137">
        <v>14635.597746559999</v>
      </c>
      <c r="H37" s="137">
        <f t="shared" si="28"/>
        <v>14414.42687</v>
      </c>
      <c r="I37" s="137">
        <v>9628.682728</v>
      </c>
      <c r="J37" s="137">
        <f t="shared" si="22"/>
        <v>9483.175571</v>
      </c>
      <c r="K37" s="137">
        <v>9628.682728</v>
      </c>
      <c r="L37" s="137">
        <f t="shared" si="4"/>
        <v>9483.175571</v>
      </c>
      <c r="M37" s="150">
        <f>22344/1.02/22242</f>
        <v>0.9848881554</v>
      </c>
      <c r="N37" s="141" t="s">
        <v>12</v>
      </c>
      <c r="O37" s="137" t="s">
        <v>2012</v>
      </c>
      <c r="P37" s="137" t="s">
        <v>2012</v>
      </c>
      <c r="Q37" s="137" t="s">
        <v>2012</v>
      </c>
      <c r="R37" s="137" t="s">
        <v>2012</v>
      </c>
      <c r="S37" s="137" t="s">
        <v>2012</v>
      </c>
      <c r="T37" s="14"/>
      <c r="U37" s="14" t="s">
        <v>136</v>
      </c>
    </row>
    <row r="38" ht="37.5" customHeight="1">
      <c r="A38" s="136"/>
      <c r="B38" s="14" t="s">
        <v>2016</v>
      </c>
      <c r="C38" s="14" t="s">
        <v>30</v>
      </c>
      <c r="D38" s="14" t="s">
        <v>26</v>
      </c>
      <c r="E38" s="137">
        <v>26568.235753106415</v>
      </c>
      <c r="F38" s="137">
        <f t="shared" si="27"/>
        <v>22344.11803</v>
      </c>
      <c r="G38" s="137">
        <v>17482.1291535592</v>
      </c>
      <c r="H38" s="137">
        <f t="shared" si="28"/>
        <v>14702.62312</v>
      </c>
      <c r="I38" s="137">
        <v>11501.400758920527</v>
      </c>
      <c r="J38" s="137">
        <f t="shared" si="22"/>
        <v>9672.778369</v>
      </c>
      <c r="K38" s="137">
        <v>11501.400758920527</v>
      </c>
      <c r="L38" s="137">
        <f t="shared" si="4"/>
        <v>9672.778369</v>
      </c>
      <c r="M38" s="150">
        <f>0.85*22791/1.02/22583</f>
        <v>0.8410087234</v>
      </c>
      <c r="N38" s="141" t="s">
        <v>12</v>
      </c>
      <c r="O38" s="137" t="s">
        <v>2012</v>
      </c>
      <c r="P38" s="137" t="s">
        <v>2012</v>
      </c>
      <c r="Q38" s="137" t="s">
        <v>2012</v>
      </c>
      <c r="R38" s="137" t="s">
        <v>2012</v>
      </c>
      <c r="S38" s="137" t="s">
        <v>2012</v>
      </c>
      <c r="T38" s="14"/>
      <c r="U38" s="14" t="s">
        <v>120</v>
      </c>
    </row>
    <row r="39" ht="37.5" customHeight="1">
      <c r="A39" s="136"/>
      <c r="B39" s="14" t="s">
        <v>2016</v>
      </c>
      <c r="C39" s="14" t="s">
        <v>264</v>
      </c>
      <c r="D39" s="14" t="s">
        <v>26</v>
      </c>
      <c r="E39" s="137">
        <v>22443.741135816</v>
      </c>
      <c r="F39" s="137">
        <f t="shared" si="27"/>
        <v>22790.9136</v>
      </c>
      <c r="G39" s="137">
        <v>14768.175985472</v>
      </c>
      <c r="H39" s="137">
        <f t="shared" si="28"/>
        <v>14996.61847</v>
      </c>
      <c r="I39" s="137">
        <v>9715.9052536</v>
      </c>
      <c r="J39" s="137">
        <f t="shared" si="22"/>
        <v>9866.196365</v>
      </c>
      <c r="K39" s="137">
        <v>9715.9052536</v>
      </c>
      <c r="L39" s="137">
        <f t="shared" si="4"/>
        <v>9866.196365</v>
      </c>
      <c r="M39" s="150">
        <f>23247/1.02/22444</f>
        <v>1.015468565</v>
      </c>
      <c r="N39" s="141" t="s">
        <v>12</v>
      </c>
      <c r="O39" s="137" t="s">
        <v>2012</v>
      </c>
      <c r="P39" s="137" t="s">
        <v>2012</v>
      </c>
      <c r="Q39" s="137" t="s">
        <v>2012</v>
      </c>
      <c r="R39" s="137" t="s">
        <v>2012</v>
      </c>
      <c r="S39" s="137" t="s">
        <v>2012</v>
      </c>
      <c r="T39" s="14"/>
      <c r="U39" s="14" t="s">
        <v>167</v>
      </c>
    </row>
    <row r="40" ht="37.5" customHeight="1">
      <c r="A40" s="136"/>
      <c r="B40" s="14" t="s">
        <v>2016</v>
      </c>
      <c r="C40" s="14" t="s">
        <v>33</v>
      </c>
      <c r="D40" s="14" t="s">
        <v>26</v>
      </c>
      <c r="E40" s="137">
        <v>21985.46372484</v>
      </c>
      <c r="F40" s="137">
        <f t="shared" si="27"/>
        <v>21556.45468</v>
      </c>
      <c r="G40" s="137">
        <v>14466.62548128</v>
      </c>
      <c r="H40" s="137">
        <f t="shared" si="28"/>
        <v>14184.33381</v>
      </c>
      <c r="I40" s="137">
        <v>9517.516764</v>
      </c>
      <c r="J40" s="137">
        <f t="shared" si="22"/>
        <v>9331.798561</v>
      </c>
      <c r="K40" s="137">
        <v>9517.516764</v>
      </c>
      <c r="L40" s="137">
        <f t="shared" si="4"/>
        <v>9331.798561</v>
      </c>
      <c r="M40" s="150">
        <f>21556/21985</f>
        <v>0.9804866955</v>
      </c>
      <c r="N40" s="141" t="s">
        <v>12</v>
      </c>
      <c r="O40" s="137" t="s">
        <v>2012</v>
      </c>
      <c r="P40" s="137" t="s">
        <v>2012</v>
      </c>
      <c r="Q40" s="137" t="s">
        <v>2012</v>
      </c>
      <c r="R40" s="137" t="s">
        <v>2012</v>
      </c>
      <c r="S40" s="137" t="s">
        <v>2012</v>
      </c>
      <c r="T40" s="14"/>
      <c r="U40" s="14" t="s">
        <v>136</v>
      </c>
    </row>
    <row r="41" ht="37.5" customHeight="1">
      <c r="A41" s="136"/>
      <c r="B41" s="14" t="s">
        <v>2016</v>
      </c>
      <c r="C41" s="14" t="s">
        <v>24</v>
      </c>
      <c r="D41" s="14" t="s">
        <v>26</v>
      </c>
      <c r="E41" s="137">
        <v>22190.898426312</v>
      </c>
      <c r="F41" s="137">
        <f t="shared" si="27"/>
        <v>21903.76769</v>
      </c>
      <c r="G41" s="137">
        <v>14601.803293504</v>
      </c>
      <c r="H41" s="137">
        <f t="shared" si="28"/>
        <v>14412.86878</v>
      </c>
      <c r="I41" s="137">
        <v>9606.4495352</v>
      </c>
      <c r="J41" s="137">
        <f t="shared" si="22"/>
        <v>9482.150515</v>
      </c>
      <c r="K41" s="137">
        <v>9606.4495352</v>
      </c>
      <c r="L41" s="137">
        <f t="shared" si="4"/>
        <v>9482.150515</v>
      </c>
      <c r="M41" s="150">
        <f>21906/1.02/21758</f>
        <v>0.9870608782</v>
      </c>
      <c r="N41" s="141" t="s">
        <v>12</v>
      </c>
      <c r="O41" s="137" t="s">
        <v>2012</v>
      </c>
      <c r="P41" s="137" t="s">
        <v>2012</v>
      </c>
      <c r="Q41" s="137" t="s">
        <v>2012</v>
      </c>
      <c r="R41" s="137" t="s">
        <v>2012</v>
      </c>
      <c r="S41" s="137" t="s">
        <v>2012</v>
      </c>
      <c r="T41" s="14"/>
      <c r="U41" s="14" t="s">
        <v>136</v>
      </c>
    </row>
    <row r="42" ht="37.5" customHeight="1">
      <c r="A42" s="136"/>
      <c r="B42" s="14" t="s">
        <v>2016</v>
      </c>
      <c r="C42" s="14" t="s">
        <v>1998</v>
      </c>
      <c r="D42" s="14" t="s">
        <v>26</v>
      </c>
      <c r="E42" s="137">
        <v>23711.905350672</v>
      </c>
      <c r="F42" s="137">
        <f t="shared" si="27"/>
        <v>23711.90535</v>
      </c>
      <c r="G42" s="137">
        <v>15602.639018624</v>
      </c>
      <c r="H42" s="137">
        <f t="shared" si="28"/>
        <v>15602.63902</v>
      </c>
      <c r="I42" s="137">
        <v>10264.8940912</v>
      </c>
      <c r="J42" s="137">
        <f t="shared" si="22"/>
        <v>10264.89409</v>
      </c>
      <c r="K42" s="137">
        <v>10264.8940912</v>
      </c>
      <c r="L42" s="137">
        <f t="shared" si="4"/>
        <v>10264.89409</v>
      </c>
      <c r="M42" s="150">
        <v>1.0</v>
      </c>
      <c r="N42" s="141" t="s">
        <v>12</v>
      </c>
      <c r="O42" s="137" t="s">
        <v>2012</v>
      </c>
      <c r="P42" s="137" t="s">
        <v>2012</v>
      </c>
      <c r="Q42" s="137" t="s">
        <v>2012</v>
      </c>
      <c r="R42" s="137" t="s">
        <v>2012</v>
      </c>
      <c r="S42" s="137" t="s">
        <v>2012</v>
      </c>
      <c r="T42" s="14"/>
      <c r="U42" s="14" t="s">
        <v>136</v>
      </c>
    </row>
    <row r="43" ht="37.5" customHeight="1">
      <c r="A43" s="136"/>
      <c r="B43" s="14" t="s">
        <v>2050</v>
      </c>
      <c r="C43" s="14" t="s">
        <v>16</v>
      </c>
      <c r="D43" s="14" t="s">
        <v>26</v>
      </c>
      <c r="E43" s="137">
        <v>17449.430627327998</v>
      </c>
      <c r="F43" s="137">
        <f t="shared" ref="F43:F47" si="29">J43*1.92</f>
        <v>18151.81515</v>
      </c>
      <c r="G43" s="137">
        <v>10724.129239712</v>
      </c>
      <c r="H43" s="137">
        <f t="shared" ref="H43:H47" si="30">J43*1.18</f>
        <v>11155.80306</v>
      </c>
      <c r="I43" s="137">
        <v>9088.2451184</v>
      </c>
      <c r="J43" s="137">
        <f t="shared" si="22"/>
        <v>9454.07039</v>
      </c>
      <c r="K43" s="137">
        <v>9088.2451184</v>
      </c>
      <c r="L43" s="137">
        <f t="shared" si="4"/>
        <v>9454.07039</v>
      </c>
      <c r="M43" s="150">
        <f>18587/1.024/17449</f>
        <v>1.040252575</v>
      </c>
      <c r="N43" s="141" t="s">
        <v>12</v>
      </c>
      <c r="O43" s="137" t="s">
        <v>2012</v>
      </c>
      <c r="P43" s="137" t="s">
        <v>2012</v>
      </c>
      <c r="Q43" s="137" t="s">
        <v>2012</v>
      </c>
      <c r="R43" s="137" t="s">
        <v>2012</v>
      </c>
      <c r="S43" s="137" t="s">
        <v>2012</v>
      </c>
      <c r="T43" s="14"/>
      <c r="U43" s="14" t="s">
        <v>447</v>
      </c>
    </row>
    <row r="44" ht="37.5" customHeight="1">
      <c r="A44" s="136"/>
      <c r="B44" s="14" t="s">
        <v>2050</v>
      </c>
      <c r="C44" s="14" t="s">
        <v>264</v>
      </c>
      <c r="D44" s="14" t="s">
        <v>26</v>
      </c>
      <c r="E44" s="137">
        <v>17948.548703231998</v>
      </c>
      <c r="F44" s="137">
        <f t="shared" si="29"/>
        <v>18587.42326</v>
      </c>
      <c r="G44" s="137">
        <v>11030.878890527998</v>
      </c>
      <c r="H44" s="137">
        <f t="shared" si="30"/>
        <v>11423.52055</v>
      </c>
      <c r="I44" s="137">
        <v>9348.2024496</v>
      </c>
      <c r="J44" s="137">
        <f t="shared" si="22"/>
        <v>9680.949617</v>
      </c>
      <c r="K44" s="137">
        <v>9348.2024496</v>
      </c>
      <c r="L44" s="137">
        <f t="shared" si="4"/>
        <v>9680.949617</v>
      </c>
      <c r="M44" s="150">
        <f>19034/1.024/17949</f>
        <v>1.035594775</v>
      </c>
      <c r="N44" s="141" t="s">
        <v>12</v>
      </c>
      <c r="O44" s="137" t="s">
        <v>2012</v>
      </c>
      <c r="P44" s="137" t="s">
        <v>2012</v>
      </c>
      <c r="Q44" s="137" t="s">
        <v>2012</v>
      </c>
      <c r="R44" s="137" t="s">
        <v>2012</v>
      </c>
      <c r="S44" s="137" t="s">
        <v>2012</v>
      </c>
      <c r="T44" s="14"/>
      <c r="U44" s="14" t="s">
        <v>447</v>
      </c>
    </row>
    <row r="45" ht="37.5" customHeight="1">
      <c r="A45" s="136"/>
      <c r="B45" s="14" t="s">
        <v>2050</v>
      </c>
      <c r="C45" s="14" t="s">
        <v>24</v>
      </c>
      <c r="D45" s="14" t="s">
        <v>26</v>
      </c>
      <c r="E45" s="137">
        <v>18293.334216191997</v>
      </c>
      <c r="F45" s="137">
        <f t="shared" si="29"/>
        <v>19490.59046</v>
      </c>
      <c r="G45" s="137">
        <v>11242.778320368</v>
      </c>
      <c r="H45" s="137">
        <f t="shared" si="30"/>
        <v>11978.59206</v>
      </c>
      <c r="I45" s="137">
        <v>9527.7782376</v>
      </c>
      <c r="J45" s="137">
        <f t="shared" si="22"/>
        <v>10151.3492</v>
      </c>
      <c r="K45" s="137">
        <v>9527.7782376</v>
      </c>
      <c r="L45" s="137">
        <f t="shared" si="4"/>
        <v>10151.3492</v>
      </c>
      <c r="M45" s="150">
        <f>19958/1.024/18293</f>
        <v>1.065447678</v>
      </c>
      <c r="N45" s="141" t="s">
        <v>12</v>
      </c>
      <c r="O45" s="137" t="s">
        <v>2012</v>
      </c>
      <c r="P45" s="137" t="s">
        <v>2012</v>
      </c>
      <c r="Q45" s="137" t="s">
        <v>2012</v>
      </c>
      <c r="R45" s="137" t="s">
        <v>2012</v>
      </c>
      <c r="S45" s="137" t="s">
        <v>2012</v>
      </c>
      <c r="T45" s="14"/>
      <c r="U45" s="14" t="s">
        <v>423</v>
      </c>
    </row>
    <row r="46" ht="37.5" customHeight="1">
      <c r="A46" s="136"/>
      <c r="B46" s="14" t="s">
        <v>2050</v>
      </c>
      <c r="C46" s="14" t="s">
        <v>17</v>
      </c>
      <c r="D46" s="14" t="s">
        <v>26</v>
      </c>
      <c r="E46" s="137">
        <v>18122.583295488</v>
      </c>
      <c r="F46" s="137">
        <f t="shared" si="29"/>
        <v>19033.74203</v>
      </c>
      <c r="G46" s="137">
        <v>11137.837650352</v>
      </c>
      <c r="H46" s="137">
        <f t="shared" si="30"/>
        <v>11697.82062</v>
      </c>
      <c r="I46" s="137">
        <v>9438.8454664</v>
      </c>
      <c r="J46" s="137">
        <f t="shared" si="22"/>
        <v>9913.407308</v>
      </c>
      <c r="K46" s="137">
        <v>9438.8454664</v>
      </c>
      <c r="L46" s="137">
        <f t="shared" si="4"/>
        <v>9913.407308</v>
      </c>
      <c r="M46" s="150">
        <f>19491/1.024/18123</f>
        <v>1.050277531</v>
      </c>
      <c r="N46" s="141" t="s">
        <v>12</v>
      </c>
      <c r="O46" s="137" t="s">
        <v>2012</v>
      </c>
      <c r="P46" s="137" t="s">
        <v>2012</v>
      </c>
      <c r="Q46" s="137" t="s">
        <v>2012</v>
      </c>
      <c r="R46" s="137" t="s">
        <v>2012</v>
      </c>
      <c r="S46" s="137" t="s">
        <v>2012</v>
      </c>
      <c r="T46" s="14"/>
      <c r="U46" s="14" t="s">
        <v>423</v>
      </c>
    </row>
    <row r="47" ht="37.5" customHeight="1">
      <c r="A47" s="136"/>
      <c r="B47" s="14" t="s">
        <v>2050</v>
      </c>
      <c r="C47" s="14" t="s">
        <v>1998</v>
      </c>
      <c r="D47" s="14" t="s">
        <v>26</v>
      </c>
      <c r="E47" s="137">
        <v>19958.155693056</v>
      </c>
      <c r="F47" s="137">
        <f t="shared" si="29"/>
        <v>19958.15569</v>
      </c>
      <c r="G47" s="137">
        <v>12265.949853023998</v>
      </c>
      <c r="H47" s="137">
        <f t="shared" si="30"/>
        <v>12265.94985</v>
      </c>
      <c r="I47" s="137">
        <v>10394.8727568</v>
      </c>
      <c r="J47" s="137">
        <f t="shared" si="22"/>
        <v>10394.87276</v>
      </c>
      <c r="K47" s="137">
        <v>10394.8727568</v>
      </c>
      <c r="L47" s="137">
        <f t="shared" si="4"/>
        <v>10394.87276</v>
      </c>
      <c r="M47" s="150">
        <v>1.0</v>
      </c>
      <c r="N47" s="141" t="s">
        <v>12</v>
      </c>
      <c r="O47" s="137" t="s">
        <v>2012</v>
      </c>
      <c r="P47" s="137" t="s">
        <v>2012</v>
      </c>
      <c r="Q47" s="137" t="s">
        <v>2012</v>
      </c>
      <c r="R47" s="137" t="s">
        <v>2012</v>
      </c>
      <c r="S47" s="137" t="s">
        <v>2012</v>
      </c>
      <c r="T47" s="14"/>
      <c r="U47" s="14" t="s">
        <v>423</v>
      </c>
    </row>
    <row r="48" ht="37.5" customHeight="1">
      <c r="A48" s="136"/>
      <c r="B48" s="14" t="s">
        <v>35</v>
      </c>
      <c r="C48" s="14" t="s">
        <v>13</v>
      </c>
      <c r="D48" s="14" t="s">
        <v>26</v>
      </c>
      <c r="E48" s="137">
        <v>24045.591369687998</v>
      </c>
      <c r="F48" s="137">
        <f t="shared" ref="F48:F53" si="31">J48*1.67</f>
        <v>27215.07149</v>
      </c>
      <c r="G48" s="137">
        <v>21453.850982535998</v>
      </c>
      <c r="H48" s="137">
        <f t="shared" ref="H48:H53" si="32">J48*1.49</f>
        <v>24281.71049</v>
      </c>
      <c r="I48" s="137">
        <v>14398.557706399999</v>
      </c>
      <c r="J48" s="137">
        <f t="shared" si="22"/>
        <v>16296.44999</v>
      </c>
      <c r="K48" s="137">
        <v>14398.557706399999</v>
      </c>
      <c r="L48" s="137">
        <f t="shared" si="4"/>
        <v>16296.44999</v>
      </c>
      <c r="M48" s="150">
        <f>28032/1.03/24046</f>
        <v>1.131811278</v>
      </c>
      <c r="N48" s="141" t="s">
        <v>12</v>
      </c>
      <c r="O48" s="137" t="s">
        <v>2012</v>
      </c>
      <c r="P48" s="137" t="s">
        <v>2012</v>
      </c>
      <c r="Q48" s="137" t="s">
        <v>2012</v>
      </c>
      <c r="R48" s="137" t="s">
        <v>2012</v>
      </c>
      <c r="S48" s="137" t="s">
        <v>2012</v>
      </c>
      <c r="T48" s="14"/>
      <c r="U48" s="14" t="s">
        <v>167</v>
      </c>
    </row>
    <row r="49" ht="37.5" customHeight="1">
      <c r="A49" s="136"/>
      <c r="B49" s="14" t="s">
        <v>35</v>
      </c>
      <c r="C49" s="14" t="s">
        <v>2042</v>
      </c>
      <c r="D49" s="14" t="s">
        <v>26</v>
      </c>
      <c r="E49" s="137">
        <v>26056.292916696</v>
      </c>
      <c r="F49" s="137">
        <f t="shared" si="31"/>
        <v>29739.16927</v>
      </c>
      <c r="G49" s="137">
        <v>23247.830207111998</v>
      </c>
      <c r="H49" s="137">
        <f t="shared" si="32"/>
        <v>26533.74983</v>
      </c>
      <c r="I49" s="137">
        <v>15602.570608799999</v>
      </c>
      <c r="J49" s="137">
        <f t="shared" si="22"/>
        <v>17807.88579</v>
      </c>
      <c r="K49" s="137">
        <v>15602.570608799999</v>
      </c>
      <c r="L49" s="137">
        <f t="shared" si="4"/>
        <v>17807.88579</v>
      </c>
      <c r="M49" s="150">
        <f>30631/1.03/26056</f>
        <v>1.141343067</v>
      </c>
      <c r="N49" s="141" t="s">
        <v>12</v>
      </c>
      <c r="O49" s="137" t="s">
        <v>2012</v>
      </c>
      <c r="P49" s="137" t="s">
        <v>2012</v>
      </c>
      <c r="Q49" s="137" t="s">
        <v>2012</v>
      </c>
      <c r="R49" s="137" t="s">
        <v>2012</v>
      </c>
      <c r="S49" s="137" t="s">
        <v>2012</v>
      </c>
      <c r="T49" s="14"/>
      <c r="U49" s="14" t="s">
        <v>167</v>
      </c>
    </row>
    <row r="50" ht="37.5" customHeight="1">
      <c r="A50" s="136"/>
      <c r="B50" s="14" t="s">
        <v>35</v>
      </c>
      <c r="C50" s="14" t="s">
        <v>30</v>
      </c>
      <c r="D50" s="14" t="s">
        <v>26</v>
      </c>
      <c r="E50" s="137">
        <v>23702.858151448</v>
      </c>
      <c r="F50" s="137">
        <f t="shared" si="31"/>
        <v>28872.64275</v>
      </c>
      <c r="G50" s="137">
        <v>21148.059069256</v>
      </c>
      <c r="H50" s="137">
        <f t="shared" si="32"/>
        <v>25760.62137</v>
      </c>
      <c r="I50" s="137">
        <v>14193.3282344</v>
      </c>
      <c r="J50" s="137">
        <f t="shared" si="22"/>
        <v>17289.00763</v>
      </c>
      <c r="K50" s="137">
        <v>14193.3282344</v>
      </c>
      <c r="L50" s="137">
        <f t="shared" si="4"/>
        <v>17289.00763</v>
      </c>
      <c r="M50" s="150">
        <f>29739/1.03/23703</f>
        <v>1.218108068</v>
      </c>
      <c r="N50" s="141" t="s">
        <v>12</v>
      </c>
      <c r="O50" s="137" t="s">
        <v>2012</v>
      </c>
      <c r="P50" s="137" t="s">
        <v>2012</v>
      </c>
      <c r="Q50" s="137" t="s">
        <v>2012</v>
      </c>
      <c r="R50" s="137" t="s">
        <v>2012</v>
      </c>
      <c r="S50" s="137" t="s">
        <v>2012</v>
      </c>
      <c r="T50" s="14"/>
      <c r="U50" s="14" t="s">
        <v>423</v>
      </c>
    </row>
    <row r="51" ht="37.5" customHeight="1">
      <c r="A51" s="136"/>
      <c r="B51" s="14" t="s">
        <v>35</v>
      </c>
      <c r="C51" s="14" t="s">
        <v>24</v>
      </c>
      <c r="D51" s="14" t="s">
        <v>26</v>
      </c>
      <c r="E51" s="137">
        <v>30631.7813802</v>
      </c>
      <c r="F51" s="137">
        <f t="shared" si="31"/>
        <v>28031.83877</v>
      </c>
      <c r="G51" s="137">
        <v>27330.152249400002</v>
      </c>
      <c r="H51" s="137">
        <f t="shared" si="32"/>
        <v>25010.44298</v>
      </c>
      <c r="I51" s="137">
        <v>18342.38406</v>
      </c>
      <c r="J51" s="137">
        <f t="shared" si="22"/>
        <v>16785.5322</v>
      </c>
      <c r="K51" s="137">
        <v>18342.38406</v>
      </c>
      <c r="L51" s="137">
        <f t="shared" si="4"/>
        <v>16785.5322</v>
      </c>
      <c r="M51" s="150">
        <f>28873/30632/1.03</f>
        <v>0.9151227094</v>
      </c>
      <c r="N51" s="141" t="s">
        <v>12</v>
      </c>
      <c r="O51" s="137" t="s">
        <v>2012</v>
      </c>
      <c r="P51" s="137" t="s">
        <v>2012</v>
      </c>
      <c r="Q51" s="137" t="s">
        <v>2012</v>
      </c>
      <c r="R51" s="137" t="s">
        <v>2012</v>
      </c>
      <c r="S51" s="137" t="s">
        <v>2012</v>
      </c>
      <c r="T51" s="14"/>
      <c r="U51" s="14" t="s">
        <v>136</v>
      </c>
    </row>
    <row r="52" ht="37.5" customHeight="1">
      <c r="A52" s="136"/>
      <c r="B52" s="14" t="s">
        <v>35</v>
      </c>
      <c r="C52" s="14" t="s">
        <v>17</v>
      </c>
      <c r="D52" s="14" t="s">
        <v>26</v>
      </c>
      <c r="E52" s="137">
        <v>18516.162115416</v>
      </c>
      <c r="F52" s="137">
        <f t="shared" si="31"/>
        <v>26422.56144</v>
      </c>
      <c r="G52" s="137">
        <v>16520.408114952</v>
      </c>
      <c r="H52" s="137">
        <f t="shared" si="32"/>
        <v>23574.62068</v>
      </c>
      <c r="I52" s="137">
        <v>11087.5222248</v>
      </c>
      <c r="J52" s="137">
        <f t="shared" si="22"/>
        <v>15821.89308</v>
      </c>
      <c r="K52" s="137">
        <v>11087.5222248</v>
      </c>
      <c r="L52" s="137">
        <f t="shared" si="4"/>
        <v>15821.89308</v>
      </c>
      <c r="M52" s="150">
        <f>27215/1.03/18516</f>
        <v>1.426999897</v>
      </c>
      <c r="N52" s="141" t="s">
        <v>12</v>
      </c>
      <c r="O52" s="137" t="s">
        <v>2012</v>
      </c>
      <c r="P52" s="137" t="s">
        <v>2012</v>
      </c>
      <c r="Q52" s="137" t="s">
        <v>2012</v>
      </c>
      <c r="R52" s="137" t="s">
        <v>2012</v>
      </c>
      <c r="S52" s="137" t="s">
        <v>2012</v>
      </c>
      <c r="T52" s="14"/>
      <c r="U52" s="14" t="s">
        <v>447</v>
      </c>
    </row>
    <row r="53" ht="37.5" customHeight="1">
      <c r="A53" s="136"/>
      <c r="B53" s="14" t="s">
        <v>35</v>
      </c>
      <c r="C53" s="14" t="s">
        <v>1998</v>
      </c>
      <c r="D53" s="14" t="s">
        <v>26</v>
      </c>
      <c r="E53" s="137">
        <v>24482.576222943997</v>
      </c>
      <c r="F53" s="137">
        <f t="shared" si="31"/>
        <v>30631.46979</v>
      </c>
      <c r="G53" s="137">
        <v>21843.735671968</v>
      </c>
      <c r="H53" s="137">
        <f t="shared" si="32"/>
        <v>27329.87424</v>
      </c>
      <c r="I53" s="137">
        <v>14660.2252832</v>
      </c>
      <c r="J53" s="137">
        <f t="shared" si="22"/>
        <v>18342.19748</v>
      </c>
      <c r="K53" s="137">
        <v>14660.2252832</v>
      </c>
      <c r="L53" s="137">
        <f t="shared" si="4"/>
        <v>18342.19748</v>
      </c>
      <c r="M53" s="150">
        <f>30632/24483</f>
        <v>1.251153862</v>
      </c>
      <c r="N53" s="141" t="s">
        <v>12</v>
      </c>
      <c r="O53" s="137" t="s">
        <v>2012</v>
      </c>
      <c r="P53" s="137" t="s">
        <v>2012</v>
      </c>
      <c r="Q53" s="137" t="s">
        <v>2012</v>
      </c>
      <c r="R53" s="137" t="s">
        <v>2012</v>
      </c>
      <c r="S53" s="137" t="s">
        <v>2012</v>
      </c>
      <c r="T53" s="14"/>
      <c r="U53" s="14" t="s">
        <v>167</v>
      </c>
    </row>
    <row r="54" ht="37.5" customHeight="1">
      <c r="A54" s="136"/>
      <c r="B54" s="14" t="s">
        <v>36</v>
      </c>
      <c r="C54" s="14" t="s">
        <v>13</v>
      </c>
      <c r="D54" s="14" t="s">
        <v>26</v>
      </c>
      <c r="E54" s="137">
        <v>16787.85632188</v>
      </c>
      <c r="F54" s="137">
        <f t="shared" ref="F54:F57" si="33">J54*1.37</f>
        <v>25197.45877</v>
      </c>
      <c r="G54" s="137">
        <v>16297.699932919999</v>
      </c>
      <c r="H54" s="137">
        <f t="shared" ref="H54:H57" si="34">J54*1.33</f>
        <v>24461.76654</v>
      </c>
      <c r="I54" s="137">
        <v>12253.909724</v>
      </c>
      <c r="J54" s="137">
        <f t="shared" si="22"/>
        <v>18392.30567</v>
      </c>
      <c r="K54" s="137">
        <v>12253.909724</v>
      </c>
      <c r="L54" s="137">
        <f t="shared" si="4"/>
        <v>18392.30567</v>
      </c>
      <c r="M54" s="150">
        <f>1.5*26004/1.032/25182</f>
        <v>1.500933668</v>
      </c>
      <c r="N54" s="141" t="s">
        <v>12</v>
      </c>
      <c r="O54" s="137" t="s">
        <v>2012</v>
      </c>
      <c r="P54" s="137" t="s">
        <v>2012</v>
      </c>
      <c r="Q54" s="137" t="s">
        <v>2012</v>
      </c>
      <c r="R54" s="137" t="s">
        <v>2012</v>
      </c>
      <c r="S54" s="137" t="s">
        <v>2012</v>
      </c>
      <c r="T54" s="14"/>
      <c r="U54" s="14" t="s">
        <v>423</v>
      </c>
    </row>
    <row r="55" ht="37.5" customHeight="1">
      <c r="A55" s="136"/>
      <c r="B55" s="14" t="s">
        <v>36</v>
      </c>
      <c r="C55" s="14" t="s">
        <v>16</v>
      </c>
      <c r="D55" s="14" t="s">
        <v>26</v>
      </c>
      <c r="E55" s="137">
        <v>16909.694218424</v>
      </c>
      <c r="F55" s="137">
        <f t="shared" si="33"/>
        <v>26004.37472</v>
      </c>
      <c r="G55" s="137">
        <v>16415.980518615997</v>
      </c>
      <c r="H55" s="137">
        <f t="shared" si="34"/>
        <v>25245.1229</v>
      </c>
      <c r="I55" s="137">
        <v>12342.842495199999</v>
      </c>
      <c r="J55" s="137">
        <f t="shared" si="22"/>
        <v>18981.29542</v>
      </c>
      <c r="K55" s="137">
        <v>12342.842495199999</v>
      </c>
      <c r="L55" s="137">
        <f t="shared" si="4"/>
        <v>18981.29542</v>
      </c>
      <c r="M55" s="150">
        <f>1.5*26837/1.032/25365</f>
        <v>1.537838259</v>
      </c>
      <c r="N55" s="141" t="s">
        <v>12</v>
      </c>
      <c r="O55" s="137" t="s">
        <v>2012</v>
      </c>
      <c r="P55" s="137" t="s">
        <v>2012</v>
      </c>
      <c r="Q55" s="137" t="s">
        <v>2012</v>
      </c>
      <c r="R55" s="137" t="s">
        <v>2012</v>
      </c>
      <c r="S55" s="137" t="s">
        <v>2012</v>
      </c>
      <c r="T55" s="14"/>
      <c r="U55" s="14" t="s">
        <v>423</v>
      </c>
    </row>
    <row r="56" ht="37.5" customHeight="1">
      <c r="A56" s="136"/>
      <c r="B56" s="14" t="s">
        <v>36</v>
      </c>
      <c r="C56" s="14" t="s">
        <v>24</v>
      </c>
      <c r="D56" s="14" t="s">
        <v>26</v>
      </c>
      <c r="E56" s="137">
        <v>17891.426500192</v>
      </c>
      <c r="F56" s="137">
        <f t="shared" si="33"/>
        <v>26837.13975</v>
      </c>
      <c r="G56" s="137">
        <v>17369.049084128</v>
      </c>
      <c r="H56" s="137">
        <f t="shared" si="34"/>
        <v>26053.57363</v>
      </c>
      <c r="I56" s="137">
        <v>13059.4354016</v>
      </c>
      <c r="J56" s="137">
        <f t="shared" si="22"/>
        <v>19589.1531</v>
      </c>
      <c r="K56" s="137">
        <v>13059.4354016</v>
      </c>
      <c r="L56" s="137">
        <f t="shared" si="4"/>
        <v>19589.1531</v>
      </c>
      <c r="M56" s="150">
        <v>1.5</v>
      </c>
      <c r="N56" s="141" t="s">
        <v>12</v>
      </c>
      <c r="O56" s="137" t="s">
        <v>2012</v>
      </c>
      <c r="P56" s="137" t="s">
        <v>2012</v>
      </c>
      <c r="Q56" s="137" t="s">
        <v>2012</v>
      </c>
      <c r="R56" s="137" t="s">
        <v>2012</v>
      </c>
      <c r="S56" s="137" t="s">
        <v>2012</v>
      </c>
      <c r="T56" s="128" t="s">
        <v>2393</v>
      </c>
      <c r="U56" s="14" t="s">
        <v>423</v>
      </c>
    </row>
    <row r="57" ht="37.5" customHeight="1">
      <c r="A57" s="136"/>
      <c r="B57" s="14" t="s">
        <v>36</v>
      </c>
      <c r="C57" s="14" t="s">
        <v>17</v>
      </c>
      <c r="D57" s="14" t="s">
        <v>26</v>
      </c>
      <c r="E57" s="137">
        <v>17015.130859664</v>
      </c>
      <c r="F57" s="137">
        <f t="shared" si="33"/>
        <v>24415.40714</v>
      </c>
      <c r="G57" s="137">
        <v>16518.338717776</v>
      </c>
      <c r="H57" s="137">
        <f t="shared" si="34"/>
        <v>23702.54854</v>
      </c>
      <c r="I57" s="137">
        <v>12419.8035472</v>
      </c>
      <c r="J57" s="137">
        <f t="shared" si="22"/>
        <v>17821.46507</v>
      </c>
      <c r="K57" s="137">
        <v>12419.8035472</v>
      </c>
      <c r="L57" s="137">
        <f t="shared" si="4"/>
        <v>17821.46507</v>
      </c>
      <c r="M57" s="150">
        <f>1.5*25197/1.032/25523</f>
        <v>1.434923266</v>
      </c>
      <c r="N57" s="141" t="s">
        <v>12</v>
      </c>
      <c r="O57" s="137" t="s">
        <v>2012</v>
      </c>
      <c r="P57" s="137" t="s">
        <v>2012</v>
      </c>
      <c r="Q57" s="137" t="s">
        <v>2012</v>
      </c>
      <c r="R57" s="137" t="s">
        <v>2012</v>
      </c>
      <c r="S57" s="137" t="s">
        <v>2012</v>
      </c>
      <c r="T57" s="14"/>
      <c r="U57" s="14" t="s">
        <v>423</v>
      </c>
    </row>
    <row r="58" ht="37.5" customHeight="1">
      <c r="A58" s="136"/>
      <c r="B58" s="14" t="s">
        <v>1995</v>
      </c>
      <c r="C58" s="14" t="s">
        <v>1996</v>
      </c>
      <c r="D58" s="14" t="s">
        <v>37</v>
      </c>
      <c r="E58" s="137">
        <v>11371.666666666668</v>
      </c>
      <c r="F58" s="137">
        <f t="shared" ref="F58:F62" si="35">J58*1.25</f>
        <v>11371.66667</v>
      </c>
      <c r="G58" s="137">
        <v>9552.2</v>
      </c>
      <c r="H58" s="137">
        <f t="shared" ref="H58:H62" si="36">J58*1.05</f>
        <v>9552.2</v>
      </c>
      <c r="I58" s="137">
        <v>9097.333333333334</v>
      </c>
      <c r="J58" s="137">
        <f t="shared" ref="J58:J80" si="37">L58/N58</f>
        <v>9097.333333</v>
      </c>
      <c r="K58" s="141">
        <v>54584.0</v>
      </c>
      <c r="L58" s="184">
        <f t="shared" si="4"/>
        <v>54584</v>
      </c>
      <c r="M58" s="150">
        <v>1.0</v>
      </c>
      <c r="N58" s="150">
        <v>6.0</v>
      </c>
      <c r="O58" s="141">
        <v>25.0</v>
      </c>
      <c r="P58" s="137">
        <f t="shared" ref="P58:P62" si="38">R58*1.25</f>
        <v>1705750</v>
      </c>
      <c r="Q58" s="137">
        <v>1364600.0</v>
      </c>
      <c r="R58" s="137">
        <f t="shared" ref="R58:R80" si="39">O58*L58</f>
        <v>1364600</v>
      </c>
      <c r="S58" s="152">
        <f t="shared" ref="S58:S80" si="40">R58/Q58</f>
        <v>1</v>
      </c>
      <c r="T58" s="14"/>
      <c r="U58" s="14" t="s">
        <v>92</v>
      </c>
    </row>
    <row r="59" ht="37.5" customHeight="1">
      <c r="A59" s="136"/>
      <c r="B59" s="14" t="s">
        <v>1995</v>
      </c>
      <c r="C59" s="14" t="s">
        <v>41</v>
      </c>
      <c r="D59" s="14" t="s">
        <v>37</v>
      </c>
      <c r="E59" s="137">
        <v>32757.5</v>
      </c>
      <c r="F59" s="137">
        <f t="shared" si="35"/>
        <v>39309</v>
      </c>
      <c r="G59" s="137">
        <v>27516.300000000003</v>
      </c>
      <c r="H59" s="137">
        <f t="shared" si="36"/>
        <v>33019.56</v>
      </c>
      <c r="I59" s="137">
        <v>26206.0</v>
      </c>
      <c r="J59" s="137">
        <f t="shared" si="37"/>
        <v>31447.2</v>
      </c>
      <c r="K59" s="141">
        <v>39309.0</v>
      </c>
      <c r="L59" s="184">
        <f t="shared" si="4"/>
        <v>47170.8</v>
      </c>
      <c r="M59" s="150">
        <v>1.2</v>
      </c>
      <c r="N59" s="150">
        <v>1.5</v>
      </c>
      <c r="O59" s="141">
        <v>20.0</v>
      </c>
      <c r="P59" s="137">
        <f t="shared" si="38"/>
        <v>1179270</v>
      </c>
      <c r="Q59" s="137">
        <v>982725.0</v>
      </c>
      <c r="R59" s="137">
        <f t="shared" si="39"/>
        <v>943416</v>
      </c>
      <c r="S59" s="152">
        <f t="shared" si="40"/>
        <v>0.96</v>
      </c>
      <c r="T59" s="128" t="s">
        <v>2394</v>
      </c>
      <c r="U59" s="14" t="s">
        <v>136</v>
      </c>
    </row>
    <row r="60" ht="37.5" customHeight="1">
      <c r="A60" s="136"/>
      <c r="B60" s="14" t="s">
        <v>1995</v>
      </c>
      <c r="C60" s="14" t="s">
        <v>24</v>
      </c>
      <c r="D60" s="14" t="s">
        <v>37</v>
      </c>
      <c r="E60" s="137">
        <v>24765.833333333336</v>
      </c>
      <c r="F60" s="137">
        <f t="shared" si="35"/>
        <v>33484.3973</v>
      </c>
      <c r="G60" s="137">
        <v>20803.300000000003</v>
      </c>
      <c r="H60" s="137">
        <f t="shared" si="36"/>
        <v>28126.89373</v>
      </c>
      <c r="I60" s="137">
        <v>19812.666666666668</v>
      </c>
      <c r="J60" s="137">
        <f t="shared" si="37"/>
        <v>26787.51784</v>
      </c>
      <c r="K60" s="141">
        <v>29719.0</v>
      </c>
      <c r="L60" s="184">
        <f t="shared" si="4"/>
        <v>40181.27676</v>
      </c>
      <c r="M60" s="150">
        <f>1.2*1.1267</f>
        <v>1.35204</v>
      </c>
      <c r="N60" s="150">
        <v>1.5</v>
      </c>
      <c r="O60" s="141">
        <v>28.0</v>
      </c>
      <c r="P60" s="137">
        <f t="shared" si="38"/>
        <v>1406344.687</v>
      </c>
      <c r="Q60" s="137">
        <v>742975.0</v>
      </c>
      <c r="R60" s="137">
        <f t="shared" si="39"/>
        <v>1125075.749</v>
      </c>
      <c r="S60" s="152">
        <f t="shared" si="40"/>
        <v>1.5142848</v>
      </c>
      <c r="T60" s="14"/>
      <c r="U60" s="14" t="s">
        <v>167</v>
      </c>
    </row>
    <row r="61" ht="37.5" customHeight="1">
      <c r="A61" s="136"/>
      <c r="B61" s="14" t="s">
        <v>1995</v>
      </c>
      <c r="C61" s="14" t="s">
        <v>2001</v>
      </c>
      <c r="D61" s="14" t="s">
        <v>37</v>
      </c>
      <c r="E61" s="137">
        <v>33484.166666666664</v>
      </c>
      <c r="F61" s="137">
        <f t="shared" si="35"/>
        <v>36832.58333</v>
      </c>
      <c r="G61" s="137">
        <v>28126.7</v>
      </c>
      <c r="H61" s="137">
        <f t="shared" si="36"/>
        <v>30939.37</v>
      </c>
      <c r="I61" s="137">
        <v>26787.333333333332</v>
      </c>
      <c r="J61" s="137">
        <f t="shared" si="37"/>
        <v>29466.06667</v>
      </c>
      <c r="K61" s="141">
        <v>40181.0</v>
      </c>
      <c r="L61" s="184">
        <f t="shared" si="4"/>
        <v>44199.1</v>
      </c>
      <c r="M61" s="150">
        <v>1.1</v>
      </c>
      <c r="N61" s="150">
        <v>1.5</v>
      </c>
      <c r="O61" s="141">
        <v>23.0</v>
      </c>
      <c r="P61" s="137">
        <f t="shared" si="38"/>
        <v>1270724.125</v>
      </c>
      <c r="Q61" s="137">
        <v>1004525.0</v>
      </c>
      <c r="R61" s="137">
        <f t="shared" si="39"/>
        <v>1016579.3</v>
      </c>
      <c r="S61" s="152">
        <f t="shared" si="40"/>
        <v>1.012</v>
      </c>
      <c r="T61" s="128" t="s">
        <v>2395</v>
      </c>
      <c r="U61" s="14" t="s">
        <v>92</v>
      </c>
    </row>
    <row r="62" ht="37.5" customHeight="1">
      <c r="A62" s="136"/>
      <c r="B62" s="14" t="s">
        <v>1995</v>
      </c>
      <c r="C62" s="14" t="s">
        <v>40</v>
      </c>
      <c r="D62" s="14" t="s">
        <v>37</v>
      </c>
      <c r="E62" s="137">
        <v>18584.166666666668</v>
      </c>
      <c r="F62" s="137">
        <f t="shared" si="35"/>
        <v>22301</v>
      </c>
      <c r="G62" s="137">
        <v>15610.7</v>
      </c>
      <c r="H62" s="137">
        <f t="shared" si="36"/>
        <v>18732.84</v>
      </c>
      <c r="I62" s="137">
        <v>14867.333333333334</v>
      </c>
      <c r="J62" s="137">
        <f t="shared" si="37"/>
        <v>17840.8</v>
      </c>
      <c r="K62" s="141">
        <v>22301.0</v>
      </c>
      <c r="L62" s="184">
        <f t="shared" si="4"/>
        <v>26761.2</v>
      </c>
      <c r="M62" s="150">
        <v>1.2</v>
      </c>
      <c r="N62" s="150">
        <v>1.5</v>
      </c>
      <c r="O62" s="141">
        <v>25.0</v>
      </c>
      <c r="P62" s="137">
        <f t="shared" si="38"/>
        <v>836287.5</v>
      </c>
      <c r="Q62" s="137">
        <v>557525.0</v>
      </c>
      <c r="R62" s="137">
        <f t="shared" si="39"/>
        <v>669030</v>
      </c>
      <c r="S62" s="152">
        <f t="shared" si="40"/>
        <v>1.2</v>
      </c>
      <c r="T62" s="128" t="s">
        <v>2396</v>
      </c>
      <c r="U62" s="14" t="s">
        <v>120</v>
      </c>
    </row>
    <row r="63" ht="37.5" customHeight="1">
      <c r="A63" s="136"/>
      <c r="B63" s="14" t="s">
        <v>2024</v>
      </c>
      <c r="C63" s="14" t="s">
        <v>13</v>
      </c>
      <c r="D63" s="14" t="s">
        <v>37</v>
      </c>
      <c r="E63" s="137">
        <v>35984.45375808092</v>
      </c>
      <c r="F63" s="137">
        <f t="shared" ref="F63:F67" si="41">J63*1.07</f>
        <v>44744.43988</v>
      </c>
      <c r="G63" s="137">
        <v>33630.33061502889</v>
      </c>
      <c r="H63" s="137">
        <f t="shared" ref="H63:H70" si="42">J63</f>
        <v>41817.23353</v>
      </c>
      <c r="I63" s="137">
        <v>33630.33061502889</v>
      </c>
      <c r="J63" s="137">
        <f t="shared" si="37"/>
        <v>41817.23353</v>
      </c>
      <c r="K63" s="141">
        <v>39198.0</v>
      </c>
      <c r="L63" s="184">
        <f t="shared" si="4"/>
        <v>48740.28563</v>
      </c>
      <c r="M63" s="150">
        <f>44744/1.07/33630</f>
        <v>1.243438074</v>
      </c>
      <c r="N63" s="150">
        <v>1.165555</v>
      </c>
      <c r="O63" s="141">
        <v>27.0</v>
      </c>
      <c r="P63" s="137">
        <f t="shared" ref="P63:P67" si="43">R63*1.07</f>
        <v>1408106.852</v>
      </c>
      <c r="Q63" s="137">
        <v>1058346.0</v>
      </c>
      <c r="R63" s="137">
        <f t="shared" si="39"/>
        <v>1315987.712</v>
      </c>
      <c r="S63" s="152">
        <f t="shared" si="40"/>
        <v>1.243438074</v>
      </c>
      <c r="T63" s="128" t="s">
        <v>2397</v>
      </c>
      <c r="U63" s="14" t="s">
        <v>167</v>
      </c>
    </row>
    <row r="64" ht="37.5" customHeight="1">
      <c r="A64" s="136"/>
      <c r="B64" s="14" t="s">
        <v>2024</v>
      </c>
      <c r="C64" s="14" t="s">
        <v>16</v>
      </c>
      <c r="D64" s="14" t="s">
        <v>37</v>
      </c>
      <c r="E64" s="137">
        <v>35389.83779399838</v>
      </c>
      <c r="F64" s="137">
        <f t="shared" si="41"/>
        <v>44743.60729</v>
      </c>
      <c r="G64" s="137">
        <v>33074.614760746146</v>
      </c>
      <c r="H64" s="137">
        <f t="shared" si="42"/>
        <v>41816.45542</v>
      </c>
      <c r="I64" s="137">
        <v>33074.614760746146</v>
      </c>
      <c r="J64" s="137">
        <f t="shared" si="37"/>
        <v>41816.45542</v>
      </c>
      <c r="K64" s="141">
        <v>40781.0</v>
      </c>
      <c r="L64" s="184">
        <f t="shared" si="4"/>
        <v>51572.23446</v>
      </c>
      <c r="M64" s="150">
        <f>41817/33067</f>
        <v>1.264614268</v>
      </c>
      <c r="N64" s="150">
        <v>1.2333</v>
      </c>
      <c r="O64" s="141">
        <v>28.0</v>
      </c>
      <c r="P64" s="137">
        <f t="shared" si="43"/>
        <v>1545104.145</v>
      </c>
      <c r="Q64" s="137">
        <v>1141868.0</v>
      </c>
      <c r="R64" s="137">
        <f t="shared" si="39"/>
        <v>1444022.565</v>
      </c>
      <c r="S64" s="152">
        <f t="shared" si="40"/>
        <v>1.264614268</v>
      </c>
      <c r="T64" s="128" t="s">
        <v>2397</v>
      </c>
      <c r="U64" s="14" t="s">
        <v>167</v>
      </c>
    </row>
    <row r="65" ht="37.5" customHeight="1">
      <c r="A65" s="136"/>
      <c r="B65" s="14" t="s">
        <v>2024</v>
      </c>
      <c r="C65" s="14" t="s">
        <v>264</v>
      </c>
      <c r="D65" s="14" t="s">
        <v>37</v>
      </c>
      <c r="E65" s="137">
        <v>34533.89333333333</v>
      </c>
      <c r="F65" s="137">
        <f t="shared" si="41"/>
        <v>39080.59637</v>
      </c>
      <c r="G65" s="137">
        <v>32274.666666666668</v>
      </c>
      <c r="H65" s="137">
        <f t="shared" si="42"/>
        <v>36523.92185</v>
      </c>
      <c r="I65" s="137">
        <v>32274.666666666668</v>
      </c>
      <c r="J65" s="137">
        <f t="shared" si="37"/>
        <v>36523.92185</v>
      </c>
      <c r="K65" s="141">
        <v>48412.0</v>
      </c>
      <c r="L65" s="184">
        <f t="shared" si="4"/>
        <v>54785.88277</v>
      </c>
      <c r="M65" s="150">
        <f>39081/1.07/32275</f>
        <v>1.13165915</v>
      </c>
      <c r="N65" s="150">
        <v>1.5</v>
      </c>
      <c r="O65" s="141">
        <v>30.0</v>
      </c>
      <c r="P65" s="137">
        <f t="shared" si="43"/>
        <v>1758626.837</v>
      </c>
      <c r="Q65" s="137">
        <v>1355536.0</v>
      </c>
      <c r="R65" s="137">
        <f t="shared" si="39"/>
        <v>1643576.483</v>
      </c>
      <c r="S65" s="152">
        <f t="shared" si="40"/>
        <v>1.212491946</v>
      </c>
      <c r="T65" s="128" t="s">
        <v>2397</v>
      </c>
      <c r="U65" s="14" t="s">
        <v>167</v>
      </c>
    </row>
    <row r="66" ht="37.5" customHeight="1">
      <c r="A66" s="136"/>
      <c r="B66" s="14" t="s">
        <v>2024</v>
      </c>
      <c r="C66" s="14" t="s">
        <v>17</v>
      </c>
      <c r="D66" s="14" t="s">
        <v>37</v>
      </c>
      <c r="E66" s="137">
        <v>31185.846713864856</v>
      </c>
      <c r="F66" s="137">
        <f t="shared" si="41"/>
        <v>41816.49947</v>
      </c>
      <c r="G66" s="137">
        <v>29145.651134453135</v>
      </c>
      <c r="H66" s="137">
        <f t="shared" si="42"/>
        <v>39080.84062</v>
      </c>
      <c r="I66" s="137">
        <v>29145.651134453135</v>
      </c>
      <c r="J66" s="137">
        <f t="shared" si="37"/>
        <v>39080.84062</v>
      </c>
      <c r="K66" s="141">
        <v>37792.0</v>
      </c>
      <c r="L66" s="184">
        <f t="shared" si="4"/>
        <v>50674.5628</v>
      </c>
      <c r="M66" s="150">
        <f>41817/1.07/29146</f>
        <v>1.340880684</v>
      </c>
      <c r="N66" s="150">
        <v>1.29666</v>
      </c>
      <c r="O66" s="141">
        <v>29.0</v>
      </c>
      <c r="P66" s="137">
        <f t="shared" si="43"/>
        <v>1572431.684</v>
      </c>
      <c r="Q66" s="137">
        <v>1058176.0</v>
      </c>
      <c r="R66" s="137">
        <f t="shared" si="39"/>
        <v>1469562.321</v>
      </c>
      <c r="S66" s="152">
        <f t="shared" si="40"/>
        <v>1.38876928</v>
      </c>
      <c r="T66" s="128" t="s">
        <v>2397</v>
      </c>
      <c r="U66" s="14" t="s">
        <v>423</v>
      </c>
    </row>
    <row r="67" ht="37.5" customHeight="1">
      <c r="A67" s="136"/>
      <c r="B67" s="14" t="s">
        <v>2024</v>
      </c>
      <c r="C67" s="14" t="s">
        <v>1998</v>
      </c>
      <c r="D67" s="14" t="s">
        <v>37</v>
      </c>
      <c r="E67" s="137">
        <v>40348.0105263158</v>
      </c>
      <c r="F67" s="137">
        <f t="shared" si="41"/>
        <v>47876.07958</v>
      </c>
      <c r="G67" s="137">
        <v>37708.42105263158</v>
      </c>
      <c r="H67" s="137">
        <f t="shared" si="42"/>
        <v>44743.99961</v>
      </c>
      <c r="I67" s="137">
        <v>37708.42105263158</v>
      </c>
      <c r="J67" s="137">
        <f t="shared" si="37"/>
        <v>44743.99961</v>
      </c>
      <c r="K67" s="141">
        <v>35823.0</v>
      </c>
      <c r="L67" s="184">
        <f t="shared" si="4"/>
        <v>42506.79963</v>
      </c>
      <c r="M67" s="152">
        <v>1.1865784448923304</v>
      </c>
      <c r="N67" s="150">
        <v>0.95</v>
      </c>
      <c r="O67" s="141">
        <v>28.0</v>
      </c>
      <c r="P67" s="137">
        <f t="shared" si="43"/>
        <v>1273503.717</v>
      </c>
      <c r="Q67" s="137">
        <v>1003044.0</v>
      </c>
      <c r="R67" s="137">
        <f t="shared" si="39"/>
        <v>1190190.39</v>
      </c>
      <c r="S67" s="152">
        <f t="shared" si="40"/>
        <v>1.186578445</v>
      </c>
      <c r="T67" s="128" t="s">
        <v>2397</v>
      </c>
      <c r="U67" s="14" t="s">
        <v>136</v>
      </c>
    </row>
    <row r="68" ht="37.5" customHeight="1">
      <c r="A68" s="136"/>
      <c r="B68" s="14" t="s">
        <v>2039</v>
      </c>
      <c r="C68" s="14" t="s">
        <v>13</v>
      </c>
      <c r="D68" s="14" t="s">
        <v>37</v>
      </c>
      <c r="E68" s="137">
        <v>39048.333333333336</v>
      </c>
      <c r="F68" s="137">
        <f t="shared" ref="F68:F70" si="44">J68*1.5</f>
        <v>39048.33333</v>
      </c>
      <c r="G68" s="137">
        <v>26032.222222222223</v>
      </c>
      <c r="H68" s="137">
        <f t="shared" si="42"/>
        <v>26032.22222</v>
      </c>
      <c r="I68" s="137">
        <v>26032.222222222223</v>
      </c>
      <c r="J68" s="137">
        <f t="shared" si="37"/>
        <v>26032.22222</v>
      </c>
      <c r="K68" s="141">
        <v>23429.0</v>
      </c>
      <c r="L68" s="184">
        <f t="shared" si="4"/>
        <v>23429</v>
      </c>
      <c r="M68" s="150">
        <v>1.0</v>
      </c>
      <c r="N68" s="150">
        <v>0.9</v>
      </c>
      <c r="O68" s="141">
        <v>33.0</v>
      </c>
      <c r="P68" s="137">
        <f t="shared" ref="P68:P70" si="45">R68*1.5</f>
        <v>1159735.5</v>
      </c>
      <c r="Q68" s="137">
        <v>773157.0</v>
      </c>
      <c r="R68" s="137">
        <f t="shared" si="39"/>
        <v>773157</v>
      </c>
      <c r="S68" s="152">
        <f t="shared" si="40"/>
        <v>1</v>
      </c>
      <c r="T68" s="14"/>
      <c r="U68" s="14" t="s">
        <v>167</v>
      </c>
    </row>
    <row r="69" ht="37.5" customHeight="1">
      <c r="A69" s="136"/>
      <c r="B69" s="14" t="s">
        <v>2039</v>
      </c>
      <c r="C69" s="14" t="s">
        <v>16</v>
      </c>
      <c r="D69" s="14" t="s">
        <v>37</v>
      </c>
      <c r="E69" s="137">
        <v>39927.0</v>
      </c>
      <c r="F69" s="137">
        <f t="shared" si="44"/>
        <v>41923.35</v>
      </c>
      <c r="G69" s="137">
        <v>26618.0</v>
      </c>
      <c r="H69" s="137">
        <f t="shared" si="42"/>
        <v>27948.9</v>
      </c>
      <c r="I69" s="137">
        <v>26618.0</v>
      </c>
      <c r="J69" s="137">
        <f t="shared" si="37"/>
        <v>27948.9</v>
      </c>
      <c r="K69" s="141">
        <v>26618.0</v>
      </c>
      <c r="L69" s="184">
        <f t="shared" si="4"/>
        <v>27948.9</v>
      </c>
      <c r="M69" s="150">
        <v>1.05</v>
      </c>
      <c r="N69" s="150">
        <v>1.0</v>
      </c>
      <c r="O69" s="141">
        <v>31.0</v>
      </c>
      <c r="P69" s="137">
        <f t="shared" si="45"/>
        <v>1299623.85</v>
      </c>
      <c r="Q69" s="137">
        <v>798540.0</v>
      </c>
      <c r="R69" s="137">
        <f t="shared" si="39"/>
        <v>866415.9</v>
      </c>
      <c r="S69" s="152">
        <f t="shared" si="40"/>
        <v>1.085</v>
      </c>
      <c r="T69" s="14"/>
      <c r="U69" s="14" t="s">
        <v>423</v>
      </c>
    </row>
    <row r="70" ht="37.5" customHeight="1">
      <c r="A70" s="136"/>
      <c r="B70" s="14" t="s">
        <v>2039</v>
      </c>
      <c r="C70" s="14" t="s">
        <v>1998</v>
      </c>
      <c r="D70" s="14" t="s">
        <v>37</v>
      </c>
      <c r="E70" s="137">
        <v>37993.17871759891</v>
      </c>
      <c r="F70" s="137">
        <f t="shared" si="44"/>
        <v>37993.17872</v>
      </c>
      <c r="G70" s="137">
        <v>25328.785811732607</v>
      </c>
      <c r="H70" s="137">
        <f t="shared" si="42"/>
        <v>25328.78581</v>
      </c>
      <c r="I70" s="137">
        <v>25328.785811732607</v>
      </c>
      <c r="J70" s="137">
        <f t="shared" si="37"/>
        <v>25328.78581</v>
      </c>
      <c r="K70" s="141">
        <v>18566.0</v>
      </c>
      <c r="L70" s="184">
        <f t="shared" si="4"/>
        <v>18566</v>
      </c>
      <c r="M70" s="150">
        <v>1.0</v>
      </c>
      <c r="N70" s="150">
        <v>0.733</v>
      </c>
      <c r="O70" s="141">
        <v>36.0</v>
      </c>
      <c r="P70" s="137">
        <f t="shared" si="45"/>
        <v>1002564</v>
      </c>
      <c r="Q70" s="137">
        <v>612678.0</v>
      </c>
      <c r="R70" s="137">
        <f t="shared" si="39"/>
        <v>668376</v>
      </c>
      <c r="S70" s="152">
        <f t="shared" si="40"/>
        <v>1.090909091</v>
      </c>
      <c r="T70" s="14"/>
      <c r="U70" s="14" t="s">
        <v>167</v>
      </c>
    </row>
    <row r="71" ht="37.5" customHeight="1">
      <c r="A71" s="136"/>
      <c r="B71" s="14" t="s">
        <v>42</v>
      </c>
      <c r="C71" s="14" t="s">
        <v>16</v>
      </c>
      <c r="D71" s="14" t="s">
        <v>37</v>
      </c>
      <c r="E71" s="137">
        <v>57280.509999999995</v>
      </c>
      <c r="F71" s="137">
        <f t="shared" ref="F71:F75" si="46">J71*1.39</f>
        <v>62149.35335</v>
      </c>
      <c r="G71" s="137">
        <v>51511.25</v>
      </c>
      <c r="H71" s="137">
        <f t="shared" ref="H71:H75" si="47">J71*1.25</f>
        <v>55889.70625</v>
      </c>
      <c r="I71" s="137">
        <v>41209.0</v>
      </c>
      <c r="J71" s="137">
        <f t="shared" si="37"/>
        <v>44711.765</v>
      </c>
      <c r="K71" s="141">
        <v>41209.0</v>
      </c>
      <c r="L71" s="184">
        <f t="shared" si="4"/>
        <v>44711.765</v>
      </c>
      <c r="M71" s="150">
        <v>1.085</v>
      </c>
      <c r="N71" s="150">
        <v>1.0</v>
      </c>
      <c r="O71" s="141">
        <v>26.0</v>
      </c>
      <c r="P71" s="137">
        <f t="shared" ref="P71:P75" si="48">R71*1.39</f>
        <v>1615883.187</v>
      </c>
      <c r="Q71" s="137">
        <v>1071434.0</v>
      </c>
      <c r="R71" s="137">
        <f t="shared" si="39"/>
        <v>1162505.89</v>
      </c>
      <c r="S71" s="152">
        <f t="shared" si="40"/>
        <v>1.085</v>
      </c>
      <c r="T71" s="14"/>
      <c r="U71" s="14" t="s">
        <v>120</v>
      </c>
    </row>
    <row r="72" ht="37.5" customHeight="1">
      <c r="A72" s="136"/>
      <c r="B72" s="14" t="s">
        <v>42</v>
      </c>
      <c r="C72" s="14" t="s">
        <v>24</v>
      </c>
      <c r="D72" s="14" t="s">
        <v>37</v>
      </c>
      <c r="E72" s="137">
        <v>67917.38571428572</v>
      </c>
      <c r="F72" s="137">
        <f t="shared" si="46"/>
        <v>75184.54599</v>
      </c>
      <c r="G72" s="137">
        <v>61076.78571428572</v>
      </c>
      <c r="H72" s="137">
        <f t="shared" si="47"/>
        <v>67612.00179</v>
      </c>
      <c r="I72" s="137">
        <v>48861.42857142857</v>
      </c>
      <c r="J72" s="137">
        <f t="shared" si="37"/>
        <v>54089.60143</v>
      </c>
      <c r="K72" s="141">
        <v>34203.0</v>
      </c>
      <c r="L72" s="184">
        <f t="shared" si="4"/>
        <v>37862.721</v>
      </c>
      <c r="M72" s="150">
        <v>1.107</v>
      </c>
      <c r="N72" s="150">
        <v>0.7</v>
      </c>
      <c r="O72" s="141">
        <v>24.0</v>
      </c>
      <c r="P72" s="137">
        <f t="shared" si="48"/>
        <v>1263100.373</v>
      </c>
      <c r="Q72" s="137">
        <v>752466.0</v>
      </c>
      <c r="R72" s="137">
        <f t="shared" si="39"/>
        <v>908705.304</v>
      </c>
      <c r="S72" s="152">
        <f t="shared" si="40"/>
        <v>1.207636364</v>
      </c>
      <c r="T72" s="14"/>
      <c r="U72" s="14" t="s">
        <v>136</v>
      </c>
    </row>
    <row r="73" ht="37.5" customHeight="1">
      <c r="A73" s="136"/>
      <c r="B73" s="14" t="s">
        <v>42</v>
      </c>
      <c r="C73" s="14" t="s">
        <v>2030</v>
      </c>
      <c r="D73" s="14" t="s">
        <v>37</v>
      </c>
      <c r="E73" s="137">
        <v>60262.2569027611</v>
      </c>
      <c r="F73" s="137">
        <f t="shared" si="46"/>
        <v>72314.70828</v>
      </c>
      <c r="G73" s="137">
        <v>54192.67707082833</v>
      </c>
      <c r="H73" s="137">
        <f t="shared" si="47"/>
        <v>65031.21248</v>
      </c>
      <c r="I73" s="137">
        <v>43354.141656662665</v>
      </c>
      <c r="J73" s="137">
        <f t="shared" si="37"/>
        <v>52024.96999</v>
      </c>
      <c r="K73" s="141">
        <v>36114.0</v>
      </c>
      <c r="L73" s="184">
        <f t="shared" si="4"/>
        <v>43336.8</v>
      </c>
      <c r="M73" s="150">
        <v>1.2</v>
      </c>
      <c r="N73" s="150">
        <v>0.833</v>
      </c>
      <c r="O73" s="141">
        <v>26.0</v>
      </c>
      <c r="P73" s="137">
        <f t="shared" si="48"/>
        <v>1566191.952</v>
      </c>
      <c r="Q73" s="137">
        <v>902850.0</v>
      </c>
      <c r="R73" s="137">
        <f t="shared" si="39"/>
        <v>1126756.8</v>
      </c>
      <c r="S73" s="152">
        <f t="shared" si="40"/>
        <v>1.248</v>
      </c>
      <c r="T73" s="14"/>
      <c r="U73" s="14" t="s">
        <v>136</v>
      </c>
    </row>
    <row r="74" ht="37.5" customHeight="1">
      <c r="A74" s="136"/>
      <c r="B74" s="14" t="s">
        <v>42</v>
      </c>
      <c r="C74" s="14" t="s">
        <v>17</v>
      </c>
      <c r="D74" s="14" t="s">
        <v>37</v>
      </c>
      <c r="E74" s="137">
        <v>59816.722689075636</v>
      </c>
      <c r="F74" s="137">
        <f t="shared" si="46"/>
        <v>68370.51403</v>
      </c>
      <c r="G74" s="137">
        <v>53792.01680672269</v>
      </c>
      <c r="H74" s="137">
        <f t="shared" si="47"/>
        <v>61484.27521</v>
      </c>
      <c r="I74" s="137">
        <v>43033.613445378156</v>
      </c>
      <c r="J74" s="137">
        <f t="shared" si="37"/>
        <v>49187.42017</v>
      </c>
      <c r="K74" s="141">
        <v>35847.0</v>
      </c>
      <c r="L74" s="184">
        <f t="shared" si="4"/>
        <v>40973.121</v>
      </c>
      <c r="M74" s="150">
        <v>1.143</v>
      </c>
      <c r="N74" s="150">
        <v>0.833</v>
      </c>
      <c r="O74" s="141">
        <v>25.0</v>
      </c>
      <c r="P74" s="137">
        <f t="shared" si="48"/>
        <v>1423815.955</v>
      </c>
      <c r="Q74" s="137">
        <v>896175.0</v>
      </c>
      <c r="R74" s="137">
        <f t="shared" si="39"/>
        <v>1024328.025</v>
      </c>
      <c r="S74" s="152">
        <f t="shared" si="40"/>
        <v>1.143</v>
      </c>
      <c r="T74" s="14"/>
      <c r="U74" s="14" t="s">
        <v>167</v>
      </c>
    </row>
    <row r="75" ht="37.5" customHeight="1">
      <c r="A75" s="136"/>
      <c r="B75" s="14" t="s">
        <v>42</v>
      </c>
      <c r="C75" s="14" t="s">
        <v>1998</v>
      </c>
      <c r="D75" s="14" t="s">
        <v>37</v>
      </c>
      <c r="E75" s="137">
        <v>82924.896073903</v>
      </c>
      <c r="F75" s="137">
        <f t="shared" si="46"/>
        <v>82924.89607</v>
      </c>
      <c r="G75" s="137">
        <v>74572.7482678984</v>
      </c>
      <c r="H75" s="137">
        <f t="shared" si="47"/>
        <v>74572.74827</v>
      </c>
      <c r="I75" s="137">
        <v>59658.19861431871</v>
      </c>
      <c r="J75" s="137">
        <f t="shared" si="37"/>
        <v>59658.19861</v>
      </c>
      <c r="K75" s="141">
        <v>25832.0</v>
      </c>
      <c r="L75" s="184">
        <f t="shared" si="4"/>
        <v>25832</v>
      </c>
      <c r="M75" s="150">
        <v>1.0</v>
      </c>
      <c r="N75" s="150">
        <v>0.433</v>
      </c>
      <c r="O75" s="141">
        <v>32.0</v>
      </c>
      <c r="P75" s="137">
        <f t="shared" si="48"/>
        <v>1149007.36</v>
      </c>
      <c r="Q75" s="137">
        <v>800792.0</v>
      </c>
      <c r="R75" s="137">
        <f t="shared" si="39"/>
        <v>826624</v>
      </c>
      <c r="S75" s="152">
        <f t="shared" si="40"/>
        <v>1.032258065</v>
      </c>
      <c r="T75" s="14"/>
      <c r="U75" s="14" t="s">
        <v>71</v>
      </c>
    </row>
    <row r="76" ht="37.5" customHeight="1">
      <c r="A76" s="136"/>
      <c r="B76" s="14" t="s">
        <v>35</v>
      </c>
      <c r="C76" s="14" t="s">
        <v>44</v>
      </c>
      <c r="D76" s="14" t="s">
        <v>37</v>
      </c>
      <c r="E76" s="137">
        <v>42463.003246753244</v>
      </c>
      <c r="F76" s="137">
        <f>J76*1.67</f>
        <v>42463.00325</v>
      </c>
      <c r="G76" s="137">
        <v>37886.1525974026</v>
      </c>
      <c r="H76" s="137">
        <f>J76*1.49</f>
        <v>37886.1526</v>
      </c>
      <c r="I76" s="137">
        <v>25426.948051948053</v>
      </c>
      <c r="J76" s="137">
        <f t="shared" si="37"/>
        <v>25426.94805</v>
      </c>
      <c r="K76" s="141">
        <v>15663.0</v>
      </c>
      <c r="L76" s="184">
        <f t="shared" si="4"/>
        <v>15663</v>
      </c>
      <c r="M76" s="150">
        <v>1.0</v>
      </c>
      <c r="N76" s="150">
        <v>0.616</v>
      </c>
      <c r="O76" s="141">
        <v>68.0</v>
      </c>
      <c r="P76" s="137">
        <f>R76*1.67</f>
        <v>1778690.28</v>
      </c>
      <c r="Q76" s="137">
        <v>1190388.0</v>
      </c>
      <c r="R76" s="137">
        <f t="shared" si="39"/>
        <v>1065084</v>
      </c>
      <c r="S76" s="152">
        <f t="shared" si="40"/>
        <v>0.8947368421</v>
      </c>
      <c r="T76" s="14"/>
      <c r="U76" s="14" t="s">
        <v>71</v>
      </c>
    </row>
    <row r="77" ht="37.5" customHeight="1">
      <c r="A77" s="136"/>
      <c r="B77" s="14" t="s">
        <v>2021</v>
      </c>
      <c r="C77" s="14" t="s">
        <v>13</v>
      </c>
      <c r="D77" s="14" t="s">
        <v>37</v>
      </c>
      <c r="E77" s="137">
        <v>91817.6</v>
      </c>
      <c r="F77" s="137">
        <f t="shared" ref="F77:F79" si="49">J77*2.08</f>
        <v>100264.8192</v>
      </c>
      <c r="G77" s="137">
        <v>56944.56923076923</v>
      </c>
      <c r="H77" s="137">
        <f t="shared" ref="H77:H79" si="50">J77*1.29</f>
        <v>62183.4696</v>
      </c>
      <c r="I77" s="137">
        <v>44143.07692307692</v>
      </c>
      <c r="J77" s="137">
        <f t="shared" si="37"/>
        <v>48204.24</v>
      </c>
      <c r="K77" s="141">
        <v>28693.0</v>
      </c>
      <c r="L77" s="184">
        <f t="shared" si="4"/>
        <v>31332.756</v>
      </c>
      <c r="M77" s="150">
        <v>1.092</v>
      </c>
      <c r="N77" s="150">
        <v>0.65</v>
      </c>
      <c r="O77" s="141">
        <v>31.0</v>
      </c>
      <c r="P77" s="137">
        <f t="shared" ref="P77:P79" si="51">R77*2.08</f>
        <v>2020336.107</v>
      </c>
      <c r="Q77" s="137">
        <v>860790.0</v>
      </c>
      <c r="R77" s="137">
        <f t="shared" si="39"/>
        <v>971315.436</v>
      </c>
      <c r="S77" s="152">
        <f t="shared" si="40"/>
        <v>1.1284</v>
      </c>
      <c r="T77" s="14"/>
      <c r="U77" s="14" t="s">
        <v>167</v>
      </c>
    </row>
    <row r="78" ht="37.5" customHeight="1">
      <c r="A78" s="136"/>
      <c r="B78" s="14" t="s">
        <v>2021</v>
      </c>
      <c r="C78" s="14" t="s">
        <v>16</v>
      </c>
      <c r="D78" s="14" t="s">
        <v>37</v>
      </c>
      <c r="E78" s="137">
        <v>87667.13085234095</v>
      </c>
      <c r="F78" s="137">
        <f t="shared" si="49"/>
        <v>92050.48739</v>
      </c>
      <c r="G78" s="137">
        <v>54370.48019207684</v>
      </c>
      <c r="H78" s="137">
        <f t="shared" si="50"/>
        <v>57089.0042</v>
      </c>
      <c r="I78" s="137">
        <v>42147.659063625455</v>
      </c>
      <c r="J78" s="137">
        <f t="shared" si="37"/>
        <v>44255.04202</v>
      </c>
      <c r="K78" s="141">
        <v>35109.0</v>
      </c>
      <c r="L78" s="184">
        <f t="shared" si="4"/>
        <v>36864.45</v>
      </c>
      <c r="M78" s="150">
        <v>1.05</v>
      </c>
      <c r="N78" s="150">
        <v>0.833</v>
      </c>
      <c r="O78" s="141">
        <v>28.0</v>
      </c>
      <c r="P78" s="137">
        <f t="shared" si="51"/>
        <v>2146985.568</v>
      </c>
      <c r="Q78" s="137">
        <v>912834.0</v>
      </c>
      <c r="R78" s="137">
        <f t="shared" si="39"/>
        <v>1032204.6</v>
      </c>
      <c r="S78" s="152">
        <f t="shared" si="40"/>
        <v>1.130769231</v>
      </c>
      <c r="T78" s="14"/>
      <c r="U78" s="14" t="s">
        <v>136</v>
      </c>
    </row>
    <row r="79" ht="37.5" customHeight="1">
      <c r="A79" s="136"/>
      <c r="B79" s="14" t="s">
        <v>2021</v>
      </c>
      <c r="C79" s="14" t="s">
        <v>1998</v>
      </c>
      <c r="D79" s="14" t="s">
        <v>37</v>
      </c>
      <c r="E79" s="137">
        <v>104403.5103926097</v>
      </c>
      <c r="F79" s="137">
        <f t="shared" si="49"/>
        <v>109623.6859</v>
      </c>
      <c r="G79" s="137">
        <v>64750.25404157044</v>
      </c>
      <c r="H79" s="137">
        <f t="shared" si="50"/>
        <v>67987.76674</v>
      </c>
      <c r="I79" s="137">
        <v>50193.995381062356</v>
      </c>
      <c r="J79" s="137">
        <f t="shared" si="37"/>
        <v>52703.69515</v>
      </c>
      <c r="K79" s="141">
        <v>21734.0</v>
      </c>
      <c r="L79" s="184">
        <f t="shared" si="4"/>
        <v>22820.7</v>
      </c>
      <c r="M79" s="150">
        <v>1.05</v>
      </c>
      <c r="N79" s="150">
        <v>0.433</v>
      </c>
      <c r="O79" s="141">
        <v>40.0</v>
      </c>
      <c r="P79" s="137">
        <f t="shared" si="51"/>
        <v>1898682.24</v>
      </c>
      <c r="Q79" s="137">
        <v>869360.0</v>
      </c>
      <c r="R79" s="137">
        <f t="shared" si="39"/>
        <v>912828</v>
      </c>
      <c r="S79" s="152">
        <f t="shared" si="40"/>
        <v>1.05</v>
      </c>
      <c r="T79" s="14"/>
      <c r="U79" s="14" t="s">
        <v>120</v>
      </c>
    </row>
    <row r="80" ht="39.75" customHeight="1">
      <c r="A80" s="136"/>
      <c r="B80" s="14" t="s">
        <v>2033</v>
      </c>
      <c r="C80" s="14" t="s">
        <v>13</v>
      </c>
      <c r="D80" s="14" t="s">
        <v>37</v>
      </c>
      <c r="E80" s="137">
        <v>26234.02985074627</v>
      </c>
      <c r="F80" s="137">
        <f>J80*1.27</f>
        <v>34104.23881</v>
      </c>
      <c r="G80" s="137">
        <v>28093.13432835821</v>
      </c>
      <c r="H80" s="137">
        <f>J80*1.36</f>
        <v>36521.07463</v>
      </c>
      <c r="I80" s="137">
        <v>20656.716417910447</v>
      </c>
      <c r="J80" s="137">
        <f t="shared" si="37"/>
        <v>26853.73134</v>
      </c>
      <c r="K80" s="141">
        <v>1384.0</v>
      </c>
      <c r="L80" s="184">
        <f t="shared" si="4"/>
        <v>1799.2</v>
      </c>
      <c r="M80" s="150">
        <v>1.3</v>
      </c>
      <c r="N80" s="150">
        <v>0.067</v>
      </c>
      <c r="O80" s="141">
        <v>624.0</v>
      </c>
      <c r="P80" s="137">
        <f>R80*1.27</f>
        <v>1425830.016</v>
      </c>
      <c r="Q80" s="137">
        <v>863616.0</v>
      </c>
      <c r="R80" s="137">
        <f t="shared" si="39"/>
        <v>1122700.8</v>
      </c>
      <c r="S80" s="152">
        <f t="shared" si="40"/>
        <v>1.3</v>
      </c>
      <c r="T80" s="14"/>
      <c r="U80" s="14" t="s">
        <v>136</v>
      </c>
    </row>
    <row r="81" ht="15.75" customHeight="1">
      <c r="A81" s="142" t="s">
        <v>2398</v>
      </c>
      <c r="E81" s="6" t="s">
        <v>2399</v>
      </c>
    </row>
    <row r="82">
      <c r="A82" s="127" t="s">
        <v>1</v>
      </c>
      <c r="D82" s="127" t="s">
        <v>0</v>
      </c>
      <c r="E82" s="187" t="s">
        <v>2400</v>
      </c>
      <c r="F82" s="187" t="s">
        <v>2401</v>
      </c>
      <c r="G82" s="187" t="s">
        <v>2402</v>
      </c>
      <c r="H82" s="187" t="s">
        <v>2403</v>
      </c>
      <c r="I82" s="187" t="s">
        <v>2404</v>
      </c>
      <c r="J82" s="187" t="s">
        <v>2405</v>
      </c>
      <c r="K82" s="187" t="s">
        <v>421</v>
      </c>
    </row>
    <row r="83" ht="20.25" customHeight="1">
      <c r="A83" s="14" t="s">
        <v>1997</v>
      </c>
      <c r="D83" s="128" t="s">
        <v>9</v>
      </c>
      <c r="E83" s="184">
        <f t="array" ref="E83">1000000*SLOPE(VSTACK(I3:I4,I6),VSTACK(Q3:Q4,Q6))</f>
        <v>19771.62005</v>
      </c>
      <c r="F83" s="185">
        <f t="array" ref="F83">RSQ(VSTACK(I3:I4,I6),VSTACK(Q3:Q4,Q6))</f>
        <v>0.4457649061</v>
      </c>
      <c r="G83" s="184">
        <f t="array" ref="G83">1000000*SLOPE(VSTACK(J3:J4,J6),VSTACK(R3:R4,R6))</f>
        <v>-54476.61273</v>
      </c>
      <c r="H83" s="185">
        <f t="array" ref="H83">RSQ(VSTACK(J3:J4,J6),VSTACK(R3:R4,R6))</f>
        <v>0.8522899623</v>
      </c>
      <c r="I83" s="184">
        <f t="shared" ref="I83:J83" si="52">G83-E83</f>
        <v>-74248.23278</v>
      </c>
      <c r="J83" s="185">
        <f t="shared" si="52"/>
        <v>0.4065250562</v>
      </c>
      <c r="K83" s="188" t="s">
        <v>2406</v>
      </c>
    </row>
    <row r="84" ht="20.25" customHeight="1">
      <c r="A84" s="14" t="s">
        <v>2002</v>
      </c>
      <c r="D84" s="128" t="s">
        <v>9</v>
      </c>
      <c r="E84" s="184">
        <f>1000000*SLOPE(I9:I12,Q9:Q12)</f>
        <v>-10934.66748</v>
      </c>
      <c r="F84" s="185">
        <f>RSQ(I9:I12,Q9:Q12)</f>
        <v>0.9312441578</v>
      </c>
      <c r="G84" s="184">
        <f>1000000*SLOPE(J9:J12,R9:R12)</f>
        <v>-14583.96378</v>
      </c>
      <c r="H84" s="185">
        <f>RSQ(J9:J12,R9:R12)</f>
        <v>0.9968529067</v>
      </c>
      <c r="I84" s="184">
        <f t="shared" ref="I84:J84" si="53">G84-E84</f>
        <v>-3649.2963</v>
      </c>
      <c r="J84" s="185">
        <f t="shared" si="53"/>
        <v>0.06560874897</v>
      </c>
      <c r="K84" s="188"/>
    </row>
    <row r="85" ht="20.25" customHeight="1">
      <c r="A85" s="14" t="s">
        <v>1999</v>
      </c>
      <c r="D85" s="128" t="s">
        <v>9</v>
      </c>
      <c r="E85" s="184">
        <f>1000000*SLOPE(I13:I16,Q13:Q16)</f>
        <v>-18373.66756</v>
      </c>
      <c r="F85" s="185">
        <f>RSQ(I13:I16,Q13:Q16)</f>
        <v>0.4778433642</v>
      </c>
      <c r="G85" s="184">
        <f>1000000*SLOPE(J13:J16,R13:R16)</f>
        <v>-16495.90774</v>
      </c>
      <c r="H85" s="185">
        <f>RSQ(J13:J16,R13:R16)</f>
        <v>0.999115887</v>
      </c>
      <c r="I85" s="184">
        <f t="shared" ref="I85:J85" si="54">G85-E85</f>
        <v>1877.759821</v>
      </c>
      <c r="J85" s="185">
        <f t="shared" si="54"/>
        <v>0.5212725228</v>
      </c>
      <c r="K85" s="188"/>
    </row>
    <row r="86" ht="20.25" customHeight="1">
      <c r="A86" s="14" t="s">
        <v>21</v>
      </c>
      <c r="D86" s="128" t="s">
        <v>9</v>
      </c>
      <c r="E86" s="184">
        <f>1000000*SLOPE(I17:I22,Q17:Q22)</f>
        <v>2019.254907</v>
      </c>
      <c r="F86" s="185">
        <f>RSQ(I17:I22,Q17:Q22)</f>
        <v>0.007187048033</v>
      </c>
      <c r="G86" s="184">
        <f>1000000*SLOPE(J17:J22,R17:R22)</f>
        <v>-11501.62975</v>
      </c>
      <c r="H86" s="185">
        <f>RSQ(J17:J22,R17:R22)</f>
        <v>0.4884804927</v>
      </c>
      <c r="I86" s="184">
        <f t="shared" ref="I86:J86" si="55">G86-E86</f>
        <v>-13520.88466</v>
      </c>
      <c r="J86" s="185">
        <f t="shared" si="55"/>
        <v>0.4812934447</v>
      </c>
      <c r="K86" s="188"/>
    </row>
    <row r="87" ht="20.25" customHeight="1">
      <c r="A87" s="14" t="s">
        <v>1995</v>
      </c>
      <c r="D87" s="14" t="s">
        <v>37</v>
      </c>
      <c r="E87" s="184">
        <f>1000000*SLOPE(I59:I61,Q59:Q61)</f>
        <v>26666.66667</v>
      </c>
      <c r="F87" s="185">
        <f>RSQ(I59:I61,Q59:Q61)</f>
        <v>1</v>
      </c>
      <c r="G87" s="184">
        <f>1000000*SLOPE(J59:J61,R59:R61)</f>
        <v>-25576.97544</v>
      </c>
      <c r="H87" s="185">
        <f>RSQ(J59:J61,R59:R61)</f>
        <v>0.9993432888</v>
      </c>
      <c r="I87" s="184">
        <f t="shared" ref="I87:J87" si="56">G87-E87</f>
        <v>-52243.6421</v>
      </c>
      <c r="J87" s="185">
        <f t="shared" si="56"/>
        <v>-0.0006567111875</v>
      </c>
      <c r="K87" s="188" t="s">
        <v>2407</v>
      </c>
    </row>
    <row r="88" ht="20.25" customHeight="1">
      <c r="A88" s="14" t="s">
        <v>2024</v>
      </c>
      <c r="D88" s="14" t="s">
        <v>37</v>
      </c>
      <c r="E88" s="184">
        <f>1000000*SLOPE(I63:I67,Q63:Q67)</f>
        <v>-6778.361883</v>
      </c>
      <c r="F88" s="185">
        <f>RSQ(I63:I67,Q63:Q67)</f>
        <v>0.09379936073</v>
      </c>
      <c r="G88" s="184">
        <f>1000000*SLOPE(J63:J67,R63:R67)</f>
        <v>-17434.97936</v>
      </c>
      <c r="H88" s="185">
        <f>RSQ(J63:J67,R63:R67)</f>
        <v>0.9103090219</v>
      </c>
      <c r="I88" s="184">
        <f t="shared" ref="I88:J88" si="57">G88-E88</f>
        <v>-10656.61748</v>
      </c>
      <c r="J88" s="185">
        <f t="shared" si="57"/>
        <v>0.8165096612</v>
      </c>
      <c r="K88" s="188"/>
    </row>
    <row r="89" ht="20.25" customHeight="1">
      <c r="A89" s="14" t="s">
        <v>2039</v>
      </c>
      <c r="D89" s="14" t="s">
        <v>37</v>
      </c>
      <c r="E89" s="184">
        <f>1000000*SLOPE(I68:I70,Q68:Q70)</f>
        <v>6028.166908</v>
      </c>
      <c r="F89" s="185">
        <f>RSQ(I68:I70,Q68:Q70)</f>
        <v>0.8858194783</v>
      </c>
      <c r="G89" s="184">
        <f>1000000*SLOPE(J68:J70,R68:R70)</f>
        <v>13096.64671</v>
      </c>
      <c r="H89" s="185">
        <f>RSQ(J68:J70,R68:R70)</f>
        <v>0.9155758376</v>
      </c>
      <c r="I89" s="184">
        <f t="shared" ref="I89:J89" si="58">G89-E89</f>
        <v>7068.479802</v>
      </c>
      <c r="J89" s="185">
        <f t="shared" si="58"/>
        <v>0.02975635924</v>
      </c>
      <c r="K89" s="188"/>
    </row>
    <row r="90" ht="20.25" customHeight="1">
      <c r="A90" s="14" t="s">
        <v>42</v>
      </c>
      <c r="D90" s="14" t="s">
        <v>37</v>
      </c>
      <c r="E90" s="184">
        <f>1000000*SLOPE(I71:I75,Q71:Q75)</f>
        <v>-41789.22235</v>
      </c>
      <c r="F90" s="185">
        <f>RSQ(I71:I75,Q71:Q75)</f>
        <v>0.4625133825</v>
      </c>
      <c r="G90" s="184">
        <f>1000000*SLOPE(J71:J75,R71:R75)</f>
        <v>-34142.48631</v>
      </c>
      <c r="H90" s="185">
        <f>RSQ(J71:J75,R71:R75)</f>
        <v>0.7611699264</v>
      </c>
      <c r="I90" s="184">
        <f t="shared" ref="I90:J90" si="59">G90-E90</f>
        <v>7646.736047</v>
      </c>
      <c r="J90" s="185">
        <f t="shared" si="59"/>
        <v>0.2986565438</v>
      </c>
      <c r="K90" s="188"/>
    </row>
    <row r="91" ht="20.25" customHeight="1">
      <c r="A91" s="14" t="s">
        <v>2021</v>
      </c>
      <c r="D91" s="14" t="s">
        <v>37</v>
      </c>
      <c r="E91" s="184">
        <f>1000000*SLOPE(I77:I79,Q77:Q79)</f>
        <v>-86001.41073</v>
      </c>
      <c r="F91" s="185">
        <f>RSQ(I77:I79,Q77:Q79)</f>
        <v>0.3280398048</v>
      </c>
      <c r="G91" s="184">
        <f>1000000*SLOPE(J77:J79,R77:R79)</f>
        <v>-70732.65338</v>
      </c>
      <c r="H91" s="185">
        <f>RSQ(J77:J79,R77:R79)</f>
        <v>0.9975813117</v>
      </c>
      <c r="I91" s="184">
        <f t="shared" ref="I91:J91" si="60">G91-E91</f>
        <v>15268.75735</v>
      </c>
      <c r="J91" s="185">
        <f t="shared" si="60"/>
        <v>0.6695415069</v>
      </c>
      <c r="K91" s="188"/>
    </row>
    <row r="92">
      <c r="A92" s="127" t="s">
        <v>1</v>
      </c>
      <c r="D92" s="127" t="s">
        <v>0</v>
      </c>
      <c r="E92" s="187" t="s">
        <v>2408</v>
      </c>
      <c r="F92" s="187" t="s">
        <v>2409</v>
      </c>
      <c r="G92" s="187" t="s">
        <v>2410</v>
      </c>
      <c r="H92" s="187" t="s">
        <v>2411</v>
      </c>
      <c r="I92" s="187" t="s">
        <v>2412</v>
      </c>
      <c r="J92" s="187" t="s">
        <v>2413</v>
      </c>
      <c r="K92" s="188" t="s">
        <v>2414</v>
      </c>
    </row>
    <row r="93" ht="20.25" customHeight="1">
      <c r="A93" s="14" t="s">
        <v>2010</v>
      </c>
      <c r="D93" s="14" t="s">
        <v>26</v>
      </c>
      <c r="E93" s="184">
        <f>AVERAGE(E23:E28)</f>
        <v>19032.34844</v>
      </c>
      <c r="F93" s="184">
        <f>STDEV(E23:E28)</f>
        <v>1334.554484</v>
      </c>
      <c r="G93" s="184">
        <f>AVERAGE(F23:F28)</f>
        <v>19673.89966</v>
      </c>
      <c r="H93" s="184">
        <f>STDEV(F23:F28)</f>
        <v>930.9836902</v>
      </c>
      <c r="I93" s="189">
        <f t="shared" ref="I93:I99" si="61">100*(G93/E93-1)</f>
        <v>3.370846318</v>
      </c>
      <c r="J93" s="184">
        <f t="shared" ref="J93:J99" si="62">H93-F93</f>
        <v>-403.570794</v>
      </c>
      <c r="K93" s="188"/>
    </row>
    <row r="94" ht="20.25" customHeight="1">
      <c r="A94" s="14" t="s">
        <v>28</v>
      </c>
      <c r="D94" s="14" t="s">
        <v>26</v>
      </c>
      <c r="E94" s="184">
        <f>AVERAGE(E29:E30)</f>
        <v>17726.69564</v>
      </c>
      <c r="F94" s="184">
        <f>STDEV(E29:E30)</f>
        <v>461.9626318</v>
      </c>
      <c r="G94" s="184">
        <f>AVERAGE(F29:F30)</f>
        <v>23044.70434</v>
      </c>
      <c r="H94" s="184">
        <f>STDEV(F29:F30)</f>
        <v>600.5514213</v>
      </c>
      <c r="I94" s="189">
        <f t="shared" si="61"/>
        <v>30</v>
      </c>
      <c r="J94" s="184">
        <f t="shared" si="62"/>
        <v>138.5887895</v>
      </c>
      <c r="K94" s="188"/>
    </row>
    <row r="95" ht="20.25" customHeight="1">
      <c r="A95" s="14" t="s">
        <v>2013</v>
      </c>
      <c r="D95" s="14" t="s">
        <v>26</v>
      </c>
      <c r="E95" s="184">
        <f>AVERAGE(E31:E35)</f>
        <v>21116.46399</v>
      </c>
      <c r="F95" s="184">
        <f>STDEV(E31:E35)</f>
        <v>1167.191288</v>
      </c>
      <c r="G95" s="184">
        <f>AVERAGE(F31:F35)</f>
        <v>21116.46399</v>
      </c>
      <c r="H95" s="184">
        <f>STDEV(F31:F35)</f>
        <v>1167.191288</v>
      </c>
      <c r="I95" s="189">
        <f t="shared" si="61"/>
        <v>0</v>
      </c>
      <c r="J95" s="184">
        <f t="shared" si="62"/>
        <v>0</v>
      </c>
      <c r="K95" s="188"/>
    </row>
    <row r="96" ht="20.25" customHeight="1">
      <c r="A96" s="14" t="s">
        <v>2016</v>
      </c>
      <c r="D96" s="14" t="s">
        <v>26</v>
      </c>
      <c r="E96" s="184">
        <f>AVERAGE(E36:E42)</f>
        <v>23176.87182</v>
      </c>
      <c r="F96" s="184">
        <f>STDEV(E36:E42)</f>
        <v>1612.286015</v>
      </c>
      <c r="G96" s="184">
        <f>AVERAGE(F36:F42)</f>
        <v>22494.27891</v>
      </c>
      <c r="H96" s="184">
        <f>STDEV(F36:F42)</f>
        <v>788.813291</v>
      </c>
      <c r="I96" s="189">
        <f t="shared" si="61"/>
        <v>-2.94514684</v>
      </c>
      <c r="J96" s="184">
        <f t="shared" si="62"/>
        <v>-823.472724</v>
      </c>
      <c r="K96" s="188"/>
    </row>
    <row r="97" ht="20.25" customHeight="1">
      <c r="A97" s="14" t="s">
        <v>2050</v>
      </c>
      <c r="D97" s="14" t="s">
        <v>26</v>
      </c>
      <c r="E97" s="184">
        <f>AVERAGE(E43:E47)</f>
        <v>18354.41051</v>
      </c>
      <c r="F97" s="184">
        <f>STDEV(E43:E47)</f>
        <v>950.4190099</v>
      </c>
      <c r="G97" s="184">
        <f>AVERAGE(F43:F47)</f>
        <v>19044.34532</v>
      </c>
      <c r="H97" s="184">
        <f>STDEV(F43:F47)</f>
        <v>714.0876047</v>
      </c>
      <c r="I97" s="189">
        <f t="shared" si="61"/>
        <v>3.758959261</v>
      </c>
      <c r="J97" s="184">
        <f t="shared" si="62"/>
        <v>-236.3314052</v>
      </c>
      <c r="K97" s="188"/>
    </row>
    <row r="98" ht="20.25" customHeight="1">
      <c r="A98" s="14" t="s">
        <v>35</v>
      </c>
      <c r="D98" s="14" t="s">
        <v>26</v>
      </c>
      <c r="E98" s="184">
        <f>AVERAGE(E48:E52)</f>
        <v>24590.53719</v>
      </c>
      <c r="F98" s="184">
        <f>STDEV(E48:E52)</f>
        <v>4376.872279</v>
      </c>
      <c r="G98" s="184">
        <f>AVERAGE(F48:F52)</f>
        <v>28056.25674</v>
      </c>
      <c r="H98" s="184">
        <f>STDEV(F48:F52)</f>
        <v>1311.090186</v>
      </c>
      <c r="I98" s="189">
        <f t="shared" si="61"/>
        <v>14.09371227</v>
      </c>
      <c r="J98" s="184">
        <f t="shared" si="62"/>
        <v>-3065.782093</v>
      </c>
      <c r="K98" s="188"/>
    </row>
    <row r="99" ht="20.25" customHeight="1">
      <c r="A99" s="14" t="s">
        <v>36</v>
      </c>
      <c r="D99" s="14" t="s">
        <v>26</v>
      </c>
      <c r="E99" s="184">
        <f>AVERAGE(E54:E57)</f>
        <v>17151.02698</v>
      </c>
      <c r="F99" s="184">
        <f>STDEV(E54:E57)</f>
        <v>502.2594395</v>
      </c>
      <c r="G99" s="184">
        <f>AVERAGE(F54:F57)</f>
        <v>25613.59509</v>
      </c>
      <c r="H99" s="184">
        <f>STDEV(F54:F57)</f>
        <v>1042.208241</v>
      </c>
      <c r="I99" s="189">
        <f t="shared" si="61"/>
        <v>49.34146586</v>
      </c>
      <c r="J99" s="184">
        <f t="shared" si="62"/>
        <v>539.948802</v>
      </c>
      <c r="K99" s="188"/>
    </row>
  </sheetData>
  <autoFilter ref="$A$2:$U$80">
    <sortState ref="A2:U80">
      <sortCondition ref="D2:D80"/>
      <sortCondition ref="B2:B80"/>
      <sortCondition ref="C2:C80"/>
    </sortState>
  </autoFilter>
  <mergeCells count="40">
    <mergeCell ref="A1:D1"/>
    <mergeCell ref="F1:T1"/>
    <mergeCell ref="A81:D81"/>
    <mergeCell ref="E81:U81"/>
    <mergeCell ref="A82:C82"/>
    <mergeCell ref="K82:U82"/>
    <mergeCell ref="K83:U83"/>
    <mergeCell ref="A83:C83"/>
    <mergeCell ref="A84:C84"/>
    <mergeCell ref="A85:C85"/>
    <mergeCell ref="A86:C86"/>
    <mergeCell ref="A87:C87"/>
    <mergeCell ref="A88:C88"/>
    <mergeCell ref="A89:C89"/>
    <mergeCell ref="K84:U84"/>
    <mergeCell ref="K85:U85"/>
    <mergeCell ref="K86:U86"/>
    <mergeCell ref="K87:U87"/>
    <mergeCell ref="K88:U88"/>
    <mergeCell ref="K89:U89"/>
    <mergeCell ref="K90:U90"/>
    <mergeCell ref="A97:C97"/>
    <mergeCell ref="A98:C98"/>
    <mergeCell ref="A99:C99"/>
    <mergeCell ref="A90:C90"/>
    <mergeCell ref="A91:C91"/>
    <mergeCell ref="A92:C92"/>
    <mergeCell ref="A93:C93"/>
    <mergeCell ref="A94:C94"/>
    <mergeCell ref="A95:C95"/>
    <mergeCell ref="A96:C96"/>
    <mergeCell ref="K98:U98"/>
    <mergeCell ref="K99:U99"/>
    <mergeCell ref="K91:U91"/>
    <mergeCell ref="K92:U92"/>
    <mergeCell ref="K93:U93"/>
    <mergeCell ref="K94:U94"/>
    <mergeCell ref="K95:U95"/>
    <mergeCell ref="K96:U96"/>
    <mergeCell ref="K97:U97"/>
  </mergeCells>
  <conditionalFormatting sqref="U3:U80">
    <cfRule type="cellIs" dxfId="3" priority="1" operator="equal">
      <formula>"F"</formula>
    </cfRule>
  </conditionalFormatting>
  <conditionalFormatting sqref="U3:U80">
    <cfRule type="cellIs" dxfId="4" priority="2" operator="equal">
      <formula>"E"</formula>
    </cfRule>
  </conditionalFormatting>
  <conditionalFormatting sqref="U3:U80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U3:U80">
    <cfRule type="cellIs" dxfId="5" priority="4" operator="equal">
      <formula>"S"</formula>
    </cfRule>
  </conditionalFormatting>
  <conditionalFormatting sqref="U3:U80">
    <cfRule type="cellIs" dxfId="6" priority="5" operator="equal">
      <formula>"B"</formula>
    </cfRule>
  </conditionalFormatting>
  <conditionalFormatting sqref="U3:U80">
    <cfRule type="cellIs" dxfId="7" priority="6" operator="equal">
      <formula>"D"</formula>
    </cfRule>
  </conditionalFormatting>
  <conditionalFormatting sqref="U3:U80">
    <cfRule type="cellIs" dxfId="8" priority="7" operator="equal">
      <formula>"C"</formula>
    </cfRule>
  </conditionalFormatting>
  <conditionalFormatting sqref="U3:U80">
    <cfRule type="cellIs" dxfId="9" priority="8" operator="equal">
      <formula>"A"</formula>
    </cfRule>
  </conditionalFormatting>
  <conditionalFormatting sqref="D3:D80 D82:D99">
    <cfRule type="cellIs" dxfId="16" priority="9" operator="equal">
      <formula>"Primary"</formula>
    </cfRule>
  </conditionalFormatting>
  <conditionalFormatting sqref="D3:D80 D82:D99">
    <cfRule type="cellIs" dxfId="17" priority="10" operator="equal">
      <formula>"Special"</formula>
    </cfRule>
  </conditionalFormatting>
  <conditionalFormatting sqref="D3:D80 D82:D99">
    <cfRule type="cellIs" dxfId="18" priority="11" operator="equal">
      <formula>"Power"</formula>
    </cfRule>
  </conditionalFormatting>
  <conditionalFormatting sqref="M3:M80">
    <cfRule type="colorScale" priority="12">
      <colorScale>
        <cfvo type="min"/>
        <cfvo type="formula" val="1"/>
        <cfvo type="max"/>
        <color rgb="FFE67C73"/>
        <color rgb="FFFFD666"/>
        <color rgb="FF57BB8A"/>
      </colorScale>
    </cfRule>
  </conditionalFormatting>
  <conditionalFormatting sqref="S3:S80">
    <cfRule type="colorScale" priority="13">
      <colorScale>
        <cfvo type="min"/>
        <cfvo type="formula" val="1"/>
        <cfvo type="max"/>
        <color rgb="FFE67C73"/>
        <color rgb="FFFFD666"/>
        <color rgb="FF57BB8A"/>
      </colorScale>
    </cfRule>
  </conditionalFormatting>
  <conditionalFormatting sqref="F83:F91 H83:H91">
    <cfRule type="colorScale" priority="14">
      <colorScale>
        <cfvo type="min"/>
        <cfvo type="formula" val="0.5"/>
        <cfvo type="max"/>
        <color rgb="FFE67C73"/>
        <color rgb="FFFFD666"/>
        <color rgb="FF57BB8A"/>
      </colorScale>
    </cfRule>
  </conditionalFormatting>
  <conditionalFormatting sqref="E93:E99 G93:G99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I93:I99">
    <cfRule type="colorScale" priority="16">
      <colorScale>
        <cfvo type="min"/>
        <cfvo type="formula" val="0"/>
        <cfvo type="max"/>
        <color rgb="FFE67C73"/>
        <color rgb="FFFFD666"/>
        <color rgb="FF57BB8A"/>
      </colorScale>
    </cfRule>
  </conditionalFormatting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750</v>
      </c>
      <c r="C3" s="128">
        <v>29.0</v>
      </c>
      <c r="D3" s="128" t="s">
        <v>73</v>
      </c>
      <c r="E3" s="128" t="s">
        <v>2011</v>
      </c>
      <c r="F3" s="128">
        <v>54.0</v>
      </c>
      <c r="G3" s="14" t="s">
        <v>2423</v>
      </c>
      <c r="H3" s="197" t="s">
        <v>2424</v>
      </c>
      <c r="I3" s="197" t="s">
        <v>2425</v>
      </c>
      <c r="J3" s="197" t="s">
        <v>2426</v>
      </c>
      <c r="K3" s="197" t="s">
        <v>2427</v>
      </c>
      <c r="L3" s="197" t="s">
        <v>1539</v>
      </c>
      <c r="M3" s="197" t="s">
        <v>2428</v>
      </c>
      <c r="N3" s="128">
        <v>1.0</v>
      </c>
      <c r="O3" s="128" t="s">
        <v>71</v>
      </c>
    </row>
    <row r="4" ht="37.5" customHeight="1">
      <c r="A4" s="14"/>
      <c r="B4" s="128" t="s">
        <v>2429</v>
      </c>
      <c r="C4" s="128">
        <v>29.0</v>
      </c>
      <c r="D4" s="128" t="s">
        <v>157</v>
      </c>
      <c r="E4" s="128" t="s">
        <v>2011</v>
      </c>
      <c r="F4" s="128">
        <v>54.0</v>
      </c>
      <c r="G4" s="14" t="s">
        <v>2423</v>
      </c>
      <c r="H4" s="197" t="s">
        <v>2424</v>
      </c>
      <c r="I4" s="197" t="s">
        <v>2425</v>
      </c>
      <c r="J4" s="197" t="s">
        <v>2430</v>
      </c>
      <c r="K4" s="197" t="s">
        <v>2431</v>
      </c>
      <c r="L4" s="197" t="s">
        <v>2432</v>
      </c>
      <c r="M4" s="197" t="s">
        <v>2433</v>
      </c>
      <c r="N4" s="128">
        <v>2.0</v>
      </c>
      <c r="O4" s="128" t="s">
        <v>71</v>
      </c>
    </row>
    <row r="5" ht="37.5" customHeight="1">
      <c r="A5" s="128"/>
      <c r="B5" s="128" t="s">
        <v>819</v>
      </c>
      <c r="C5" s="128">
        <v>29.0</v>
      </c>
      <c r="D5" s="128" t="s">
        <v>83</v>
      </c>
      <c r="E5" s="128" t="s">
        <v>2011</v>
      </c>
      <c r="F5" s="128">
        <v>54.0</v>
      </c>
      <c r="G5" s="14" t="s">
        <v>2423</v>
      </c>
      <c r="H5" s="197" t="s">
        <v>2424</v>
      </c>
      <c r="I5" s="197" t="s">
        <v>2425</v>
      </c>
      <c r="J5" s="197" t="s">
        <v>2434</v>
      </c>
      <c r="K5" s="197" t="s">
        <v>2435</v>
      </c>
      <c r="L5" s="197" t="s">
        <v>2436</v>
      </c>
      <c r="M5" s="197" t="s">
        <v>2437</v>
      </c>
      <c r="N5" s="128">
        <v>3.0</v>
      </c>
      <c r="O5" s="128" t="s">
        <v>71</v>
      </c>
    </row>
    <row r="6" ht="37.5" customHeight="1">
      <c r="A6" s="13"/>
      <c r="B6" s="128" t="s">
        <v>2438</v>
      </c>
      <c r="C6" s="128">
        <v>29.0</v>
      </c>
      <c r="D6" s="14" t="s">
        <v>94</v>
      </c>
      <c r="E6" s="128" t="s">
        <v>14</v>
      </c>
      <c r="F6" s="128">
        <v>54.0</v>
      </c>
      <c r="G6" s="128" t="s">
        <v>2423</v>
      </c>
      <c r="H6" s="197" t="s">
        <v>2439</v>
      </c>
      <c r="I6" s="197" t="s">
        <v>2440</v>
      </c>
      <c r="J6" s="197"/>
      <c r="K6" s="197"/>
      <c r="L6" s="197"/>
      <c r="M6" s="197"/>
      <c r="N6" s="128">
        <v>4.0</v>
      </c>
      <c r="O6" s="128" t="s">
        <v>71</v>
      </c>
    </row>
    <row r="7" ht="37.5" customHeight="1">
      <c r="A7" s="13"/>
      <c r="B7" s="128" t="s">
        <v>2441</v>
      </c>
      <c r="C7" s="128">
        <v>29.0</v>
      </c>
      <c r="D7" s="14" t="s">
        <v>94</v>
      </c>
      <c r="E7" s="128" t="s">
        <v>14</v>
      </c>
      <c r="F7" s="128">
        <v>54.0</v>
      </c>
      <c r="G7" s="128" t="s">
        <v>2423</v>
      </c>
      <c r="H7" s="197" t="s">
        <v>2439</v>
      </c>
      <c r="I7" s="197" t="s">
        <v>2440</v>
      </c>
      <c r="J7" s="197" t="s">
        <v>2442</v>
      </c>
      <c r="K7" s="197" t="s">
        <v>2443</v>
      </c>
      <c r="L7" s="197" t="s">
        <v>2444</v>
      </c>
      <c r="M7" s="197" t="s">
        <v>2445</v>
      </c>
      <c r="N7" s="128"/>
      <c r="O7" s="128"/>
    </row>
    <row r="8" ht="37.5" customHeight="1">
      <c r="A8" s="13"/>
      <c r="B8" s="128" t="s">
        <v>515</v>
      </c>
      <c r="C8" s="128">
        <v>27.0</v>
      </c>
      <c r="D8" s="14" t="s">
        <v>94</v>
      </c>
      <c r="E8" s="128" t="s">
        <v>2011</v>
      </c>
      <c r="F8" s="128">
        <v>51.0</v>
      </c>
      <c r="G8" s="128" t="s">
        <v>2423</v>
      </c>
      <c r="H8" s="197" t="s">
        <v>2424</v>
      </c>
      <c r="I8" s="197" t="s">
        <v>2425</v>
      </c>
      <c r="J8" s="197" t="s">
        <v>2446</v>
      </c>
      <c r="K8" s="197" t="s">
        <v>2447</v>
      </c>
      <c r="L8" s="197" t="s">
        <v>2448</v>
      </c>
      <c r="M8" s="197" t="s">
        <v>2449</v>
      </c>
      <c r="N8" s="128">
        <v>5.0</v>
      </c>
      <c r="O8" s="128" t="s">
        <v>92</v>
      </c>
    </row>
    <row r="9" ht="37.5" customHeight="1">
      <c r="A9" s="13"/>
      <c r="B9" s="128" t="s">
        <v>2450</v>
      </c>
      <c r="C9" s="128">
        <v>29.0</v>
      </c>
      <c r="D9" s="14" t="s">
        <v>94</v>
      </c>
      <c r="E9" s="14" t="s">
        <v>13</v>
      </c>
      <c r="F9" s="128">
        <v>55.0</v>
      </c>
      <c r="G9" s="14" t="s">
        <v>2423</v>
      </c>
      <c r="H9" s="197" t="s">
        <v>2439</v>
      </c>
      <c r="I9" s="197" t="s">
        <v>2440</v>
      </c>
      <c r="J9" s="198" t="s">
        <v>2451</v>
      </c>
      <c r="K9" s="198" t="s">
        <v>2452</v>
      </c>
      <c r="L9" s="198" t="s">
        <v>425</v>
      </c>
      <c r="M9" s="197" t="s">
        <v>2453</v>
      </c>
      <c r="N9" s="128">
        <v>6.0</v>
      </c>
      <c r="O9" s="128" t="s">
        <v>92</v>
      </c>
    </row>
    <row r="10" ht="37.5" customHeight="1">
      <c r="A10" s="13"/>
      <c r="B10" s="128" t="s">
        <v>2454</v>
      </c>
      <c r="C10" s="128">
        <v>29.0</v>
      </c>
      <c r="D10" s="14" t="s">
        <v>94</v>
      </c>
      <c r="E10" s="128" t="s">
        <v>17</v>
      </c>
      <c r="F10" s="128">
        <v>59.0</v>
      </c>
      <c r="G10" s="128" t="s">
        <v>2423</v>
      </c>
      <c r="H10" s="197" t="s">
        <v>2439</v>
      </c>
      <c r="I10" s="197" t="s">
        <v>2440</v>
      </c>
      <c r="J10" s="197" t="s">
        <v>2455</v>
      </c>
      <c r="K10" s="198" t="s">
        <v>2456</v>
      </c>
      <c r="L10" s="197" t="s">
        <v>2457</v>
      </c>
      <c r="M10" s="197" t="s">
        <v>2458</v>
      </c>
      <c r="N10" s="128">
        <v>7.0</v>
      </c>
      <c r="O10" s="128" t="s">
        <v>92</v>
      </c>
    </row>
    <row r="11" ht="37.5" customHeight="1">
      <c r="A11" s="13"/>
      <c r="B11" s="128" t="s">
        <v>2459</v>
      </c>
      <c r="C11" s="128">
        <v>29.0</v>
      </c>
      <c r="D11" s="128" t="s">
        <v>73</v>
      </c>
      <c r="E11" s="128" t="s">
        <v>14</v>
      </c>
      <c r="F11" s="128">
        <v>50.0</v>
      </c>
      <c r="G11" s="14" t="s">
        <v>2423</v>
      </c>
      <c r="H11" s="197" t="s">
        <v>2439</v>
      </c>
      <c r="I11" s="197" t="s">
        <v>2440</v>
      </c>
      <c r="J11" s="197" t="s">
        <v>2460</v>
      </c>
      <c r="K11" s="197" t="s">
        <v>2461</v>
      </c>
      <c r="L11" s="197" t="s">
        <v>2462</v>
      </c>
      <c r="M11" s="197" t="s">
        <v>2463</v>
      </c>
      <c r="N11" s="128">
        <v>8.0</v>
      </c>
      <c r="O11" s="128" t="s">
        <v>92</v>
      </c>
    </row>
    <row r="12" ht="37.5" customHeight="1">
      <c r="A12" s="14"/>
      <c r="B12" s="128" t="s">
        <v>2464</v>
      </c>
      <c r="C12" s="128">
        <v>29.0</v>
      </c>
      <c r="D12" s="128" t="s">
        <v>73</v>
      </c>
      <c r="E12" s="128" t="s">
        <v>17</v>
      </c>
      <c r="F12" s="128">
        <v>50.0</v>
      </c>
      <c r="G12" s="14" t="s">
        <v>2423</v>
      </c>
      <c r="H12" s="197" t="s">
        <v>2439</v>
      </c>
      <c r="I12" s="197" t="s">
        <v>2440</v>
      </c>
      <c r="J12" s="197" t="s">
        <v>2465</v>
      </c>
      <c r="K12" s="197" t="s">
        <v>2466</v>
      </c>
      <c r="L12" s="197" t="s">
        <v>2467</v>
      </c>
      <c r="M12" s="197" t="s">
        <v>2468</v>
      </c>
      <c r="N12" s="128">
        <v>9.0</v>
      </c>
      <c r="O12" s="128" t="s">
        <v>92</v>
      </c>
    </row>
    <row r="13" ht="37.5" customHeight="1">
      <c r="A13" s="128"/>
      <c r="B13" s="128" t="s">
        <v>476</v>
      </c>
      <c r="C13" s="128">
        <v>28.0</v>
      </c>
      <c r="D13" s="128" t="s">
        <v>73</v>
      </c>
      <c r="E13" s="128" t="s">
        <v>2170</v>
      </c>
      <c r="F13" s="128">
        <v>58.0</v>
      </c>
      <c r="G13" s="14" t="s">
        <v>2423</v>
      </c>
      <c r="H13" s="197" t="s">
        <v>2439</v>
      </c>
      <c r="I13" s="197" t="s">
        <v>2469</v>
      </c>
      <c r="J13" s="197" t="s">
        <v>2470</v>
      </c>
      <c r="K13" s="197" t="s">
        <v>2471</v>
      </c>
      <c r="L13" s="197" t="s">
        <v>2472</v>
      </c>
      <c r="M13" s="197" t="s">
        <v>2473</v>
      </c>
      <c r="N13" s="128">
        <v>10.0</v>
      </c>
      <c r="O13" s="128" t="s">
        <v>92</v>
      </c>
    </row>
    <row r="14" ht="37.5" customHeight="1">
      <c r="A14" s="13"/>
      <c r="B14" s="128" t="s">
        <v>503</v>
      </c>
      <c r="C14" s="128">
        <v>28.0</v>
      </c>
      <c r="D14" s="14" t="s">
        <v>94</v>
      </c>
      <c r="E14" s="128" t="s">
        <v>14</v>
      </c>
      <c r="F14" s="128">
        <v>53.0</v>
      </c>
      <c r="G14" s="128" t="s">
        <v>2423</v>
      </c>
      <c r="H14" s="197" t="s">
        <v>2439</v>
      </c>
      <c r="I14" s="197" t="s">
        <v>2440</v>
      </c>
      <c r="J14" s="197" t="s">
        <v>2474</v>
      </c>
      <c r="K14" s="197" t="s">
        <v>2475</v>
      </c>
      <c r="L14" s="197" t="s">
        <v>895</v>
      </c>
      <c r="M14" s="197" t="s">
        <v>2476</v>
      </c>
      <c r="N14" s="128">
        <v>11.0</v>
      </c>
      <c r="O14" s="128" t="s">
        <v>92</v>
      </c>
    </row>
    <row r="15" ht="37.5" customHeight="1">
      <c r="A15" s="13"/>
      <c r="B15" s="128" t="s">
        <v>2047</v>
      </c>
      <c r="C15" s="128">
        <v>29.0</v>
      </c>
      <c r="D15" s="128" t="s">
        <v>73</v>
      </c>
      <c r="E15" s="128" t="s">
        <v>264</v>
      </c>
      <c r="F15" s="128">
        <v>52.0</v>
      </c>
      <c r="G15" s="128" t="s">
        <v>2423</v>
      </c>
      <c r="H15" s="197" t="s">
        <v>2439</v>
      </c>
      <c r="I15" s="197" t="s">
        <v>2440</v>
      </c>
      <c r="J15" s="197" t="s">
        <v>2477</v>
      </c>
      <c r="K15" s="197" t="s">
        <v>1584</v>
      </c>
      <c r="L15" s="197" t="s">
        <v>1503</v>
      </c>
      <c r="M15" s="197" t="s">
        <v>2478</v>
      </c>
      <c r="N15" s="128">
        <v>12.0</v>
      </c>
      <c r="O15" s="128" t="s">
        <v>92</v>
      </c>
    </row>
    <row r="16" ht="37.5" customHeight="1">
      <c r="A16" s="13"/>
      <c r="B16" s="128" t="s">
        <v>2034</v>
      </c>
      <c r="C16" s="128">
        <v>29.0</v>
      </c>
      <c r="D16" s="128" t="s">
        <v>73</v>
      </c>
      <c r="E16" s="128" t="s">
        <v>13</v>
      </c>
      <c r="F16" s="128">
        <v>51.0</v>
      </c>
      <c r="G16" s="128" t="s">
        <v>2423</v>
      </c>
      <c r="H16" s="197" t="s">
        <v>2439</v>
      </c>
      <c r="I16" s="197" t="s">
        <v>2440</v>
      </c>
      <c r="J16" s="197" t="s">
        <v>1548</v>
      </c>
      <c r="K16" s="198" t="s">
        <v>2471</v>
      </c>
      <c r="L16" s="197" t="s">
        <v>1087</v>
      </c>
      <c r="M16" s="197" t="s">
        <v>2479</v>
      </c>
      <c r="N16" s="128">
        <v>13.0</v>
      </c>
      <c r="O16" s="128" t="s">
        <v>92</v>
      </c>
    </row>
    <row r="17" ht="37.5" customHeight="1">
      <c r="A17" s="13"/>
      <c r="B17" s="128" t="s">
        <v>2035</v>
      </c>
      <c r="C17" s="128">
        <v>29.0</v>
      </c>
      <c r="D17" s="14" t="s">
        <v>94</v>
      </c>
      <c r="E17" s="128" t="s">
        <v>24</v>
      </c>
      <c r="F17" s="128">
        <v>57.0</v>
      </c>
      <c r="G17" s="128" t="s">
        <v>2423</v>
      </c>
      <c r="H17" s="197" t="s">
        <v>2439</v>
      </c>
      <c r="I17" s="197" t="s">
        <v>2440</v>
      </c>
      <c r="J17" s="197" t="s">
        <v>2480</v>
      </c>
      <c r="K17" s="197" t="s">
        <v>2481</v>
      </c>
      <c r="L17" s="197" t="s">
        <v>75</v>
      </c>
      <c r="M17" s="197" t="s">
        <v>2482</v>
      </c>
      <c r="N17" s="128">
        <v>14.0</v>
      </c>
      <c r="O17" s="128" t="s">
        <v>92</v>
      </c>
    </row>
    <row r="18" ht="37.5" customHeight="1">
      <c r="A18" s="13"/>
      <c r="B18" s="128" t="s">
        <v>2483</v>
      </c>
      <c r="C18" s="128">
        <v>29.0</v>
      </c>
      <c r="D18" s="128" t="s">
        <v>89</v>
      </c>
      <c r="E18" s="128" t="s">
        <v>13</v>
      </c>
      <c r="F18" s="128">
        <v>50.0</v>
      </c>
      <c r="G18" s="14" t="s">
        <v>2423</v>
      </c>
      <c r="H18" s="197" t="s">
        <v>2439</v>
      </c>
      <c r="I18" s="197" t="s">
        <v>2440</v>
      </c>
      <c r="J18" s="197" t="s">
        <v>2484</v>
      </c>
      <c r="K18" s="197" t="s">
        <v>2485</v>
      </c>
      <c r="L18" s="197" t="s">
        <v>2486</v>
      </c>
      <c r="M18" s="197" t="s">
        <v>2487</v>
      </c>
      <c r="N18" s="128">
        <v>15.0</v>
      </c>
      <c r="O18" s="128" t="s">
        <v>92</v>
      </c>
    </row>
    <row r="19" ht="37.5" customHeight="1">
      <c r="A19" s="128"/>
      <c r="B19" s="128" t="s">
        <v>527</v>
      </c>
      <c r="C19" s="128">
        <v>27.0</v>
      </c>
      <c r="D19" s="128" t="s">
        <v>89</v>
      </c>
      <c r="E19" s="128" t="s">
        <v>14</v>
      </c>
      <c r="F19" s="128">
        <v>54.0</v>
      </c>
      <c r="G19" s="14" t="s">
        <v>2423</v>
      </c>
      <c r="H19" s="197" t="s">
        <v>2439</v>
      </c>
      <c r="I19" s="197" t="s">
        <v>2440</v>
      </c>
      <c r="J19" s="197" t="s">
        <v>2488</v>
      </c>
      <c r="K19" s="197" t="s">
        <v>2485</v>
      </c>
      <c r="L19" s="197" t="s">
        <v>2489</v>
      </c>
      <c r="M19" s="197" t="s">
        <v>2490</v>
      </c>
      <c r="N19" s="128">
        <v>16.0</v>
      </c>
      <c r="O19" s="128" t="s">
        <v>92</v>
      </c>
    </row>
    <row r="20" ht="37.5" customHeight="1">
      <c r="A20" s="13"/>
      <c r="B20" s="128" t="s">
        <v>2491</v>
      </c>
      <c r="C20" s="128">
        <v>29.0</v>
      </c>
      <c r="D20" s="128" t="s">
        <v>65</v>
      </c>
      <c r="E20" s="128" t="s">
        <v>13</v>
      </c>
      <c r="F20" s="128">
        <v>50.0</v>
      </c>
      <c r="G20" s="128" t="s">
        <v>2423</v>
      </c>
      <c r="H20" s="197" t="s">
        <v>2439</v>
      </c>
      <c r="I20" s="197" t="s">
        <v>2440</v>
      </c>
      <c r="J20" s="197" t="s">
        <v>2492</v>
      </c>
      <c r="K20" s="197" t="s">
        <v>2493</v>
      </c>
      <c r="L20" s="197" t="s">
        <v>1209</v>
      </c>
      <c r="M20" s="197" t="s">
        <v>2494</v>
      </c>
      <c r="N20" s="128">
        <v>17.0</v>
      </c>
      <c r="O20" s="128" t="s">
        <v>92</v>
      </c>
    </row>
    <row r="21" ht="37.5" customHeight="1">
      <c r="A21" s="13"/>
      <c r="B21" s="128" t="s">
        <v>2495</v>
      </c>
      <c r="C21" s="128">
        <v>29.0</v>
      </c>
      <c r="D21" s="14" t="s">
        <v>89</v>
      </c>
      <c r="E21" s="14" t="s">
        <v>14</v>
      </c>
      <c r="F21" s="128">
        <v>54.0</v>
      </c>
      <c r="G21" s="14" t="s">
        <v>2423</v>
      </c>
      <c r="H21" s="197" t="s">
        <v>2439</v>
      </c>
      <c r="I21" s="197" t="s">
        <v>2440</v>
      </c>
      <c r="J21" s="198" t="s">
        <v>2496</v>
      </c>
      <c r="K21" s="198" t="s">
        <v>2497</v>
      </c>
      <c r="L21" s="198" t="s">
        <v>1214</v>
      </c>
      <c r="M21" s="197" t="s">
        <v>2498</v>
      </c>
      <c r="N21" s="128">
        <v>18.0</v>
      </c>
      <c r="O21" s="128" t="s">
        <v>92</v>
      </c>
    </row>
    <row r="22" ht="37.5" customHeight="1">
      <c r="A22" s="14"/>
      <c r="B22" s="128" t="s">
        <v>2499</v>
      </c>
      <c r="C22" s="128">
        <v>29.0</v>
      </c>
      <c r="D22" s="128" t="s">
        <v>65</v>
      </c>
      <c r="E22" s="128" t="s">
        <v>24</v>
      </c>
      <c r="F22" s="128">
        <v>48.0</v>
      </c>
      <c r="G22" s="14" t="s">
        <v>2423</v>
      </c>
      <c r="H22" s="197" t="s">
        <v>2439</v>
      </c>
      <c r="I22" s="197" t="s">
        <v>2440</v>
      </c>
      <c r="J22" s="197" t="s">
        <v>987</v>
      </c>
      <c r="K22" s="197" t="s">
        <v>2500</v>
      </c>
      <c r="L22" s="197" t="s">
        <v>2501</v>
      </c>
      <c r="M22" s="197" t="s">
        <v>2502</v>
      </c>
      <c r="N22" s="128">
        <v>19.0</v>
      </c>
      <c r="O22" s="128" t="s">
        <v>92</v>
      </c>
    </row>
    <row r="23" ht="37.5" customHeight="1">
      <c r="A23" s="13"/>
      <c r="B23" s="128" t="s">
        <v>2503</v>
      </c>
      <c r="C23" s="128">
        <v>29.0</v>
      </c>
      <c r="D23" s="128" t="s">
        <v>94</v>
      </c>
      <c r="E23" s="128" t="s">
        <v>264</v>
      </c>
      <c r="F23" s="128">
        <v>49.0</v>
      </c>
      <c r="G23" s="128" t="s">
        <v>2423</v>
      </c>
      <c r="H23" s="197" t="s">
        <v>2439</v>
      </c>
      <c r="I23" s="197" t="s">
        <v>2440</v>
      </c>
      <c r="J23" s="197" t="s">
        <v>2504</v>
      </c>
      <c r="K23" s="197" t="s">
        <v>900</v>
      </c>
      <c r="L23" s="197" t="s">
        <v>1536</v>
      </c>
      <c r="M23" s="197" t="s">
        <v>2505</v>
      </c>
      <c r="N23" s="128">
        <v>20.0</v>
      </c>
      <c r="O23" s="128" t="s">
        <v>120</v>
      </c>
    </row>
    <row r="24" ht="37.5" customHeight="1">
      <c r="A24" s="13"/>
      <c r="B24" s="128" t="s">
        <v>2506</v>
      </c>
      <c r="C24" s="128">
        <v>29.0</v>
      </c>
      <c r="D24" s="128" t="s">
        <v>89</v>
      </c>
      <c r="E24" s="128" t="s">
        <v>17</v>
      </c>
      <c r="F24" s="128">
        <v>51.0</v>
      </c>
      <c r="G24" s="14" t="s">
        <v>2423</v>
      </c>
      <c r="H24" s="197" t="s">
        <v>2439</v>
      </c>
      <c r="I24" s="197" t="s">
        <v>2440</v>
      </c>
      <c r="J24" s="197" t="s">
        <v>2507</v>
      </c>
      <c r="K24" s="197" t="s">
        <v>2485</v>
      </c>
      <c r="L24" s="197" t="s">
        <v>2508</v>
      </c>
      <c r="M24" s="197" t="s">
        <v>2509</v>
      </c>
      <c r="N24" s="128">
        <v>21.0</v>
      </c>
      <c r="O24" s="128" t="s">
        <v>120</v>
      </c>
    </row>
    <row r="25" ht="37.5" customHeight="1">
      <c r="A25" s="13"/>
      <c r="B25" s="128" t="s">
        <v>576</v>
      </c>
      <c r="C25" s="128">
        <v>27.0</v>
      </c>
      <c r="D25" s="128" t="s">
        <v>89</v>
      </c>
      <c r="E25" s="128" t="s">
        <v>14</v>
      </c>
      <c r="F25" s="128">
        <v>57.0</v>
      </c>
      <c r="G25" s="128" t="s">
        <v>2423</v>
      </c>
      <c r="H25" s="197" t="s">
        <v>2439</v>
      </c>
      <c r="I25" s="197" t="s">
        <v>2440</v>
      </c>
      <c r="J25" s="197" t="s">
        <v>2510</v>
      </c>
      <c r="K25" s="197" t="s">
        <v>1653</v>
      </c>
      <c r="L25" s="197" t="s">
        <v>2511</v>
      </c>
      <c r="M25" s="197" t="s">
        <v>2512</v>
      </c>
      <c r="N25" s="128">
        <v>22.0</v>
      </c>
      <c r="O25" s="128" t="s">
        <v>120</v>
      </c>
    </row>
    <row r="26" ht="37.5" customHeight="1">
      <c r="A26" s="14"/>
      <c r="B26" s="128" t="s">
        <v>2513</v>
      </c>
      <c r="C26" s="128">
        <v>29.0</v>
      </c>
      <c r="D26" s="128" t="s">
        <v>89</v>
      </c>
      <c r="E26" s="128" t="s">
        <v>264</v>
      </c>
      <c r="F26" s="128">
        <v>50.0</v>
      </c>
      <c r="G26" s="14" t="s">
        <v>2423</v>
      </c>
      <c r="H26" s="197" t="s">
        <v>2439</v>
      </c>
      <c r="I26" s="197" t="s">
        <v>2440</v>
      </c>
      <c r="J26" s="197" t="s">
        <v>2514</v>
      </c>
      <c r="K26" s="197" t="s">
        <v>2515</v>
      </c>
      <c r="L26" s="197" t="s">
        <v>2516</v>
      </c>
      <c r="M26" s="197" t="s">
        <v>2517</v>
      </c>
      <c r="N26" s="128">
        <v>23.0</v>
      </c>
      <c r="O26" s="128" t="s">
        <v>120</v>
      </c>
    </row>
    <row r="27" ht="37.5" customHeight="1">
      <c r="A27" s="14"/>
      <c r="B27" s="128" t="s">
        <v>2518</v>
      </c>
      <c r="C27" s="128">
        <v>29.0</v>
      </c>
      <c r="D27" s="128" t="s">
        <v>89</v>
      </c>
      <c r="E27" s="128" t="s">
        <v>14</v>
      </c>
      <c r="F27" s="128">
        <v>53.0</v>
      </c>
      <c r="G27" s="14" t="s">
        <v>2423</v>
      </c>
      <c r="H27" s="197" t="s">
        <v>2439</v>
      </c>
      <c r="I27" s="197" t="s">
        <v>2440</v>
      </c>
      <c r="J27" s="197" t="s">
        <v>2519</v>
      </c>
      <c r="K27" s="197" t="s">
        <v>564</v>
      </c>
      <c r="L27" s="197" t="s">
        <v>1511</v>
      </c>
      <c r="M27" s="197" t="s">
        <v>2520</v>
      </c>
      <c r="N27" s="128">
        <v>24.0</v>
      </c>
      <c r="O27" s="128" t="s">
        <v>120</v>
      </c>
    </row>
    <row r="28" ht="37.5" customHeight="1">
      <c r="A28" s="13"/>
      <c r="B28" s="128" t="s">
        <v>2521</v>
      </c>
      <c r="C28" s="128">
        <v>29.0</v>
      </c>
      <c r="D28" s="128" t="s">
        <v>65</v>
      </c>
      <c r="E28" s="128" t="s">
        <v>2011</v>
      </c>
      <c r="F28" s="128">
        <v>48.0</v>
      </c>
      <c r="G28" s="14" t="s">
        <v>2423</v>
      </c>
      <c r="H28" s="197" t="s">
        <v>2424</v>
      </c>
      <c r="I28" s="197" t="s">
        <v>2425</v>
      </c>
      <c r="J28" s="198" t="s">
        <v>2522</v>
      </c>
      <c r="K28" s="198" t="s">
        <v>2523</v>
      </c>
      <c r="L28" s="197" t="s">
        <v>2524</v>
      </c>
      <c r="M28" s="197" t="s">
        <v>2525</v>
      </c>
      <c r="N28" s="128">
        <v>25.0</v>
      </c>
      <c r="O28" s="128" t="s">
        <v>120</v>
      </c>
    </row>
    <row r="29" ht="37.5" customHeight="1">
      <c r="A29" s="13"/>
      <c r="B29" s="128" t="s">
        <v>2526</v>
      </c>
      <c r="C29" s="128">
        <v>26.0</v>
      </c>
      <c r="D29" s="14" t="s">
        <v>65</v>
      </c>
      <c r="E29" s="128" t="s">
        <v>17</v>
      </c>
      <c r="F29" s="128">
        <v>60.0</v>
      </c>
      <c r="G29" s="128" t="s">
        <v>2423</v>
      </c>
      <c r="H29" s="197" t="s">
        <v>2439</v>
      </c>
      <c r="I29" s="197" t="s">
        <v>2440</v>
      </c>
      <c r="J29" s="197" t="s">
        <v>2527</v>
      </c>
      <c r="K29" s="197" t="s">
        <v>2528</v>
      </c>
      <c r="L29" s="197" t="s">
        <v>683</v>
      </c>
      <c r="M29" s="197" t="s">
        <v>2529</v>
      </c>
      <c r="N29" s="128">
        <v>26.0</v>
      </c>
      <c r="O29" s="128" t="s">
        <v>120</v>
      </c>
    </row>
    <row r="30" ht="37.5" customHeight="1">
      <c r="A30" s="13"/>
      <c r="B30" s="128" t="s">
        <v>2530</v>
      </c>
      <c r="C30" s="128">
        <v>29.0</v>
      </c>
      <c r="D30" s="128" t="s">
        <v>65</v>
      </c>
      <c r="E30" s="128" t="s">
        <v>13</v>
      </c>
      <c r="F30" s="128">
        <v>49.0</v>
      </c>
      <c r="G30" s="14" t="s">
        <v>2423</v>
      </c>
      <c r="H30" s="197" t="s">
        <v>2439</v>
      </c>
      <c r="I30" s="197" t="s">
        <v>2440</v>
      </c>
      <c r="J30" s="197" t="s">
        <v>2531</v>
      </c>
      <c r="K30" s="197" t="s">
        <v>2532</v>
      </c>
      <c r="L30" s="197" t="s">
        <v>2533</v>
      </c>
      <c r="M30" s="197" t="s">
        <v>2534</v>
      </c>
      <c r="N30" s="128">
        <v>27.0</v>
      </c>
      <c r="O30" s="128" t="s">
        <v>120</v>
      </c>
    </row>
    <row r="31" ht="37.5" customHeight="1">
      <c r="A31" s="14"/>
      <c r="B31" s="128" t="s">
        <v>2535</v>
      </c>
      <c r="C31" s="128">
        <v>29.0</v>
      </c>
      <c r="D31" s="128" t="s">
        <v>65</v>
      </c>
      <c r="E31" s="128" t="s">
        <v>13</v>
      </c>
      <c r="F31" s="128">
        <v>60.0</v>
      </c>
      <c r="G31" s="14" t="s">
        <v>2423</v>
      </c>
      <c r="H31" s="197" t="s">
        <v>2439</v>
      </c>
      <c r="I31" s="197" t="s">
        <v>2440</v>
      </c>
      <c r="J31" s="197" t="s">
        <v>2536</v>
      </c>
      <c r="K31" s="197" t="s">
        <v>2537</v>
      </c>
      <c r="L31" s="197" t="s">
        <v>2538</v>
      </c>
      <c r="M31" s="197" t="s">
        <v>2539</v>
      </c>
      <c r="N31" s="128">
        <v>28.0</v>
      </c>
      <c r="O31" s="128" t="s">
        <v>120</v>
      </c>
    </row>
    <row r="32" ht="37.5" customHeight="1">
      <c r="A32" s="13"/>
      <c r="B32" s="128" t="s">
        <v>2540</v>
      </c>
      <c r="C32" s="128">
        <v>29.0</v>
      </c>
      <c r="D32" s="14" t="s">
        <v>89</v>
      </c>
      <c r="E32" s="128" t="s">
        <v>17</v>
      </c>
      <c r="F32" s="128">
        <v>47.0</v>
      </c>
      <c r="G32" s="14" t="s">
        <v>2423</v>
      </c>
      <c r="H32" s="197" t="s">
        <v>2439</v>
      </c>
      <c r="I32" s="197" t="s">
        <v>2440</v>
      </c>
      <c r="J32" s="197" t="s">
        <v>2541</v>
      </c>
      <c r="K32" s="197" t="s">
        <v>2542</v>
      </c>
      <c r="L32" s="197" t="s">
        <v>2543</v>
      </c>
      <c r="M32" s="197" t="s">
        <v>2544</v>
      </c>
      <c r="N32" s="128">
        <v>29.0</v>
      </c>
      <c r="O32" s="128" t="s">
        <v>120</v>
      </c>
    </row>
    <row r="33" ht="37.5" customHeight="1">
      <c r="A33" s="13"/>
      <c r="B33" s="128" t="s">
        <v>2545</v>
      </c>
      <c r="C33" s="128">
        <v>29.0</v>
      </c>
      <c r="D33" s="128" t="s">
        <v>89</v>
      </c>
      <c r="E33" s="128" t="s">
        <v>17</v>
      </c>
      <c r="F33" s="128">
        <v>49.0</v>
      </c>
      <c r="G33" s="14" t="s">
        <v>2423</v>
      </c>
      <c r="H33" s="197" t="s">
        <v>2439</v>
      </c>
      <c r="I33" s="197" t="s">
        <v>2440</v>
      </c>
      <c r="J33" s="197" t="s">
        <v>2546</v>
      </c>
      <c r="K33" s="197" t="s">
        <v>2547</v>
      </c>
      <c r="L33" s="197" t="s">
        <v>422</v>
      </c>
      <c r="M33" s="197" t="s">
        <v>2548</v>
      </c>
      <c r="N33" s="128">
        <v>30.0</v>
      </c>
      <c r="O33" s="128" t="s">
        <v>120</v>
      </c>
    </row>
    <row r="34" ht="37.5" customHeight="1">
      <c r="A34" s="13"/>
      <c r="B34" s="128" t="s">
        <v>495</v>
      </c>
      <c r="C34" s="128">
        <v>28.0</v>
      </c>
      <c r="D34" s="14" t="s">
        <v>89</v>
      </c>
      <c r="E34" s="14" t="s">
        <v>13</v>
      </c>
      <c r="F34" s="128">
        <v>58.0</v>
      </c>
      <c r="G34" s="14" t="s">
        <v>2423</v>
      </c>
      <c r="H34" s="197" t="s">
        <v>2439</v>
      </c>
      <c r="I34" s="197" t="s">
        <v>2440</v>
      </c>
      <c r="J34" s="197" t="s">
        <v>2549</v>
      </c>
      <c r="K34" s="197" t="s">
        <v>2550</v>
      </c>
      <c r="L34" s="197" t="s">
        <v>2457</v>
      </c>
      <c r="M34" s="197" t="s">
        <v>2551</v>
      </c>
      <c r="N34" s="128">
        <v>31.0</v>
      </c>
      <c r="O34" s="128" t="s">
        <v>120</v>
      </c>
    </row>
    <row r="35" ht="37.5" customHeight="1">
      <c r="A35" s="13"/>
      <c r="B35" s="128" t="s">
        <v>2552</v>
      </c>
      <c r="C35" s="128">
        <v>29.0</v>
      </c>
      <c r="D35" s="14" t="s">
        <v>89</v>
      </c>
      <c r="E35" s="128" t="s">
        <v>17</v>
      </c>
      <c r="F35" s="128">
        <v>45.0</v>
      </c>
      <c r="G35" s="128" t="s">
        <v>2423</v>
      </c>
      <c r="H35" s="197" t="s">
        <v>2439</v>
      </c>
      <c r="I35" s="197" t="s">
        <v>2440</v>
      </c>
      <c r="J35" s="197" t="s">
        <v>2553</v>
      </c>
      <c r="K35" s="197" t="s">
        <v>2554</v>
      </c>
      <c r="L35" s="197" t="s">
        <v>425</v>
      </c>
      <c r="M35" s="197" t="s">
        <v>2555</v>
      </c>
      <c r="N35" s="128">
        <v>32.0</v>
      </c>
      <c r="O35" s="128" t="s">
        <v>120</v>
      </c>
    </row>
    <row r="36" ht="37.5" customHeight="1">
      <c r="A36" s="13"/>
      <c r="B36" s="128" t="s">
        <v>2556</v>
      </c>
      <c r="C36" s="128">
        <v>25.0</v>
      </c>
      <c r="D36" s="14" t="s">
        <v>89</v>
      </c>
      <c r="E36" s="128" t="s">
        <v>17</v>
      </c>
      <c r="F36" s="128">
        <v>55.0</v>
      </c>
      <c r="G36" s="128" t="s">
        <v>2423</v>
      </c>
      <c r="H36" s="197" t="s">
        <v>2439</v>
      </c>
      <c r="I36" s="197" t="s">
        <v>2440</v>
      </c>
      <c r="J36" s="197" t="s">
        <v>2557</v>
      </c>
      <c r="K36" s="197" t="s">
        <v>2542</v>
      </c>
      <c r="L36" s="197" t="s">
        <v>1079</v>
      </c>
      <c r="M36" s="197" t="s">
        <v>2558</v>
      </c>
      <c r="N36" s="128">
        <v>33.0</v>
      </c>
      <c r="O36" s="128" t="s">
        <v>120</v>
      </c>
    </row>
    <row r="37" ht="37.5" customHeight="1">
      <c r="A37" s="13"/>
      <c r="B37" s="128" t="s">
        <v>2048</v>
      </c>
      <c r="C37" s="128">
        <v>29.0</v>
      </c>
      <c r="D37" s="14" t="s">
        <v>65</v>
      </c>
      <c r="E37" s="128" t="s">
        <v>17</v>
      </c>
      <c r="F37" s="128">
        <v>48.0</v>
      </c>
      <c r="G37" s="128" t="s">
        <v>2423</v>
      </c>
      <c r="H37" s="197" t="s">
        <v>2439</v>
      </c>
      <c r="I37" s="197" t="s">
        <v>2440</v>
      </c>
      <c r="J37" s="197" t="s">
        <v>2559</v>
      </c>
      <c r="K37" s="197" t="s">
        <v>2560</v>
      </c>
      <c r="L37" s="197" t="s">
        <v>2543</v>
      </c>
      <c r="M37" s="197" t="s">
        <v>2561</v>
      </c>
      <c r="N37" s="128">
        <v>34.0</v>
      </c>
      <c r="O37" s="128" t="s">
        <v>120</v>
      </c>
    </row>
    <row r="38" ht="37.5" customHeight="1">
      <c r="A38" s="13"/>
      <c r="B38" s="128" t="s">
        <v>1397</v>
      </c>
      <c r="C38" s="128">
        <v>29.0</v>
      </c>
      <c r="D38" s="128" t="s">
        <v>157</v>
      </c>
      <c r="E38" s="128" t="s">
        <v>14</v>
      </c>
      <c r="F38" s="128">
        <v>54.0</v>
      </c>
      <c r="G38" s="128" t="s">
        <v>2423</v>
      </c>
      <c r="H38" s="197" t="s">
        <v>2439</v>
      </c>
      <c r="I38" s="197" t="s">
        <v>2440</v>
      </c>
      <c r="J38" s="197" t="s">
        <v>2484</v>
      </c>
      <c r="K38" s="197" t="s">
        <v>2562</v>
      </c>
      <c r="L38" s="197" t="s">
        <v>1077</v>
      </c>
      <c r="M38" s="197" t="s">
        <v>2563</v>
      </c>
      <c r="N38" s="128">
        <v>35.0</v>
      </c>
      <c r="O38" s="128" t="s">
        <v>120</v>
      </c>
    </row>
    <row r="39" ht="37.5" customHeight="1">
      <c r="A39" s="128"/>
      <c r="B39" s="128" t="s">
        <v>578</v>
      </c>
      <c r="C39" s="128">
        <v>27.0</v>
      </c>
      <c r="D39" s="128" t="s">
        <v>157</v>
      </c>
      <c r="E39" s="128" t="s">
        <v>13</v>
      </c>
      <c r="F39" s="128">
        <v>57.0</v>
      </c>
      <c r="G39" s="14" t="s">
        <v>2423</v>
      </c>
      <c r="H39" s="197" t="s">
        <v>2439</v>
      </c>
      <c r="I39" s="197" t="s">
        <v>2440</v>
      </c>
      <c r="J39" s="197" t="s">
        <v>986</v>
      </c>
      <c r="K39" s="197" t="s">
        <v>2564</v>
      </c>
      <c r="L39" s="197" t="s">
        <v>2448</v>
      </c>
      <c r="M39" s="197" t="s">
        <v>2565</v>
      </c>
      <c r="N39" s="128">
        <v>36.0</v>
      </c>
      <c r="O39" s="128" t="s">
        <v>120</v>
      </c>
    </row>
    <row r="40" ht="37.5" customHeight="1">
      <c r="A40" s="13"/>
      <c r="B40" s="128" t="s">
        <v>675</v>
      </c>
      <c r="C40" s="128">
        <v>29.0</v>
      </c>
      <c r="D40" s="14" t="s">
        <v>65</v>
      </c>
      <c r="E40" s="128" t="s">
        <v>17</v>
      </c>
      <c r="F40" s="128">
        <v>60.0</v>
      </c>
      <c r="G40" s="128" t="s">
        <v>2423</v>
      </c>
      <c r="H40" s="197" t="s">
        <v>2439</v>
      </c>
      <c r="I40" s="197" t="s">
        <v>2440</v>
      </c>
      <c r="J40" s="197" t="s">
        <v>2566</v>
      </c>
      <c r="K40" s="197" t="s">
        <v>2567</v>
      </c>
      <c r="L40" s="197" t="s">
        <v>1065</v>
      </c>
      <c r="M40" s="197" t="s">
        <v>2568</v>
      </c>
      <c r="N40" s="128">
        <v>37.0</v>
      </c>
      <c r="O40" s="128" t="s">
        <v>120</v>
      </c>
    </row>
    <row r="41" ht="37.5" customHeight="1">
      <c r="A41" s="13"/>
      <c r="B41" s="128" t="s">
        <v>2569</v>
      </c>
      <c r="C41" s="128">
        <v>29.0</v>
      </c>
      <c r="D41" s="128" t="s">
        <v>83</v>
      </c>
      <c r="E41" s="128" t="s">
        <v>13</v>
      </c>
      <c r="F41" s="128">
        <v>60.0</v>
      </c>
      <c r="G41" s="14" t="s">
        <v>2423</v>
      </c>
      <c r="H41" s="197" t="s">
        <v>2439</v>
      </c>
      <c r="I41" s="197" t="s">
        <v>2440</v>
      </c>
      <c r="J41" s="197" t="s">
        <v>2570</v>
      </c>
      <c r="K41" s="197" t="s">
        <v>2571</v>
      </c>
      <c r="L41" s="197" t="s">
        <v>895</v>
      </c>
      <c r="M41" s="197" t="s">
        <v>2572</v>
      </c>
      <c r="N41" s="128">
        <v>38.0</v>
      </c>
      <c r="O41" s="128" t="s">
        <v>136</v>
      </c>
    </row>
    <row r="42" ht="37.5" customHeight="1">
      <c r="A42" s="13"/>
      <c r="B42" s="128" t="s">
        <v>2573</v>
      </c>
      <c r="C42" s="128">
        <v>29.0</v>
      </c>
      <c r="D42" s="128" t="s">
        <v>73</v>
      </c>
      <c r="E42" s="128" t="s">
        <v>17</v>
      </c>
      <c r="F42" s="128">
        <v>48.0</v>
      </c>
      <c r="G42" s="128" t="s">
        <v>2423</v>
      </c>
      <c r="H42" s="197" t="s">
        <v>2439</v>
      </c>
      <c r="I42" s="197" t="s">
        <v>2440</v>
      </c>
      <c r="J42" s="197" t="s">
        <v>2574</v>
      </c>
      <c r="K42" s="197" t="s">
        <v>2575</v>
      </c>
      <c r="L42" s="197" t="s">
        <v>1073</v>
      </c>
      <c r="M42" s="197" t="s">
        <v>2576</v>
      </c>
      <c r="N42" s="128">
        <v>39.0</v>
      </c>
      <c r="O42" s="128" t="s">
        <v>136</v>
      </c>
    </row>
    <row r="43" ht="37.5" customHeight="1">
      <c r="A43" s="128"/>
      <c r="B43" s="128" t="s">
        <v>580</v>
      </c>
      <c r="C43" s="128">
        <v>27.0</v>
      </c>
      <c r="D43" s="128" t="s">
        <v>83</v>
      </c>
      <c r="E43" s="128" t="s">
        <v>17</v>
      </c>
      <c r="F43" s="128">
        <v>50.0</v>
      </c>
      <c r="G43" s="14" t="s">
        <v>2423</v>
      </c>
      <c r="H43" s="197" t="s">
        <v>2439</v>
      </c>
      <c r="I43" s="197" t="s">
        <v>2440</v>
      </c>
      <c r="J43" s="197" t="s">
        <v>2577</v>
      </c>
      <c r="K43" s="197" t="s">
        <v>2578</v>
      </c>
      <c r="L43" s="197" t="s">
        <v>1073</v>
      </c>
      <c r="M43" s="197" t="s">
        <v>2579</v>
      </c>
      <c r="N43" s="128">
        <v>40.0</v>
      </c>
      <c r="O43" s="128" t="s">
        <v>136</v>
      </c>
    </row>
    <row r="44" ht="37.5" customHeight="1">
      <c r="A44" s="128"/>
      <c r="B44" s="128" t="s">
        <v>582</v>
      </c>
      <c r="C44" s="128">
        <v>27.0</v>
      </c>
      <c r="D44" s="128" t="s">
        <v>73</v>
      </c>
      <c r="E44" s="128" t="s">
        <v>14</v>
      </c>
      <c r="F44" s="128">
        <v>52.0</v>
      </c>
      <c r="G44" s="14" t="s">
        <v>2423</v>
      </c>
      <c r="H44" s="197" t="s">
        <v>2439</v>
      </c>
      <c r="I44" s="197" t="s">
        <v>2440</v>
      </c>
      <c r="J44" s="197" t="s">
        <v>2580</v>
      </c>
      <c r="K44" s="197" t="s">
        <v>2581</v>
      </c>
      <c r="L44" s="197" t="s">
        <v>1209</v>
      </c>
      <c r="M44" s="197" t="s">
        <v>2582</v>
      </c>
      <c r="N44" s="128">
        <v>41.0</v>
      </c>
      <c r="O44" s="128" t="s">
        <v>136</v>
      </c>
    </row>
    <row r="45" ht="37.5" customHeight="1">
      <c r="A45" s="13"/>
      <c r="B45" s="128" t="s">
        <v>2583</v>
      </c>
      <c r="C45" s="128">
        <v>29.0</v>
      </c>
      <c r="D45" s="14" t="s">
        <v>157</v>
      </c>
      <c r="E45" s="14" t="s">
        <v>17</v>
      </c>
      <c r="F45" s="128">
        <v>51.0</v>
      </c>
      <c r="G45" s="14" t="s">
        <v>2423</v>
      </c>
      <c r="H45" s="197" t="s">
        <v>2439</v>
      </c>
      <c r="I45" s="197" t="s">
        <v>2440</v>
      </c>
      <c r="J45" s="198" t="s">
        <v>2584</v>
      </c>
      <c r="K45" s="198" t="s">
        <v>986</v>
      </c>
      <c r="L45" s="198" t="s">
        <v>2543</v>
      </c>
      <c r="M45" s="197" t="s">
        <v>2585</v>
      </c>
      <c r="N45" s="128">
        <v>42.0</v>
      </c>
      <c r="O45" s="128" t="s">
        <v>136</v>
      </c>
    </row>
    <row r="46" ht="37.5" customHeight="1">
      <c r="A46" s="13"/>
      <c r="B46" s="128" t="s">
        <v>2586</v>
      </c>
      <c r="C46" s="128">
        <v>29.0</v>
      </c>
      <c r="D46" s="128" t="s">
        <v>83</v>
      </c>
      <c r="E46" s="14" t="s">
        <v>264</v>
      </c>
      <c r="F46" s="128">
        <v>51.0</v>
      </c>
      <c r="G46" s="14" t="s">
        <v>2423</v>
      </c>
      <c r="H46" s="197" t="s">
        <v>2439</v>
      </c>
      <c r="I46" s="197" t="s">
        <v>2440</v>
      </c>
      <c r="J46" s="197" t="s">
        <v>2587</v>
      </c>
      <c r="K46" s="198" t="s">
        <v>2588</v>
      </c>
      <c r="L46" s="197" t="s">
        <v>895</v>
      </c>
      <c r="M46" s="197" t="s">
        <v>2589</v>
      </c>
      <c r="N46" s="128">
        <v>43.0</v>
      </c>
      <c r="O46" s="128" t="s">
        <v>136</v>
      </c>
    </row>
    <row r="47" ht="37.5" customHeight="1">
      <c r="A47" s="13"/>
      <c r="B47" s="128" t="s">
        <v>2036</v>
      </c>
      <c r="C47" s="128">
        <v>29.0</v>
      </c>
      <c r="D47" s="128" t="s">
        <v>83</v>
      </c>
      <c r="E47" s="128" t="s">
        <v>14</v>
      </c>
      <c r="F47" s="128">
        <v>60.0</v>
      </c>
      <c r="G47" s="128" t="s">
        <v>2423</v>
      </c>
      <c r="H47" s="197" t="s">
        <v>2439</v>
      </c>
      <c r="I47" s="197" t="s">
        <v>2440</v>
      </c>
      <c r="J47" s="197" t="s">
        <v>2590</v>
      </c>
      <c r="K47" s="197" t="s">
        <v>2591</v>
      </c>
      <c r="L47" s="197" t="s">
        <v>1529</v>
      </c>
      <c r="M47" s="197" t="s">
        <v>2592</v>
      </c>
      <c r="N47" s="128">
        <v>44.0</v>
      </c>
      <c r="O47" s="128" t="s">
        <v>136</v>
      </c>
    </row>
    <row r="48" ht="37.5" customHeight="1">
      <c r="A48" s="13"/>
      <c r="B48" s="128" t="s">
        <v>2593</v>
      </c>
      <c r="C48" s="128">
        <v>29.0</v>
      </c>
      <c r="D48" s="14" t="s">
        <v>65</v>
      </c>
      <c r="E48" s="128" t="s">
        <v>13</v>
      </c>
      <c r="F48" s="128">
        <v>49.0</v>
      </c>
      <c r="G48" s="14" t="s">
        <v>2423</v>
      </c>
      <c r="H48" s="197" t="s">
        <v>2439</v>
      </c>
      <c r="I48" s="197" t="s">
        <v>2440</v>
      </c>
      <c r="J48" s="197" t="s">
        <v>2594</v>
      </c>
      <c r="K48" s="197" t="s">
        <v>322</v>
      </c>
      <c r="L48" s="197" t="s">
        <v>2457</v>
      </c>
      <c r="M48" s="197" t="s">
        <v>2595</v>
      </c>
      <c r="N48" s="128">
        <v>45.0</v>
      </c>
      <c r="O48" s="128" t="s">
        <v>136</v>
      </c>
    </row>
    <row r="49" ht="37.5" customHeight="1">
      <c r="A49" s="13"/>
      <c r="B49" s="128" t="s">
        <v>2596</v>
      </c>
      <c r="C49" s="128">
        <v>16.0</v>
      </c>
      <c r="D49" s="128" t="s">
        <v>157</v>
      </c>
      <c r="E49" s="128" t="s">
        <v>14</v>
      </c>
      <c r="F49" s="128">
        <v>45.0</v>
      </c>
      <c r="G49" s="14" t="s">
        <v>2597</v>
      </c>
      <c r="H49" s="197" t="s">
        <v>2439</v>
      </c>
      <c r="I49" s="197" t="s">
        <v>2440</v>
      </c>
      <c r="J49" s="197" t="s">
        <v>2598</v>
      </c>
      <c r="K49" s="197" t="s">
        <v>2599</v>
      </c>
      <c r="L49" s="197" t="s">
        <v>2600</v>
      </c>
      <c r="M49" s="197" t="s">
        <v>2601</v>
      </c>
      <c r="N49" s="128">
        <v>46.0</v>
      </c>
      <c r="O49" s="128" t="s">
        <v>136</v>
      </c>
    </row>
    <row r="50" ht="37.5" customHeight="1">
      <c r="A50" s="128"/>
      <c r="B50" s="128" t="s">
        <v>2602</v>
      </c>
      <c r="C50" s="128">
        <v>29.0</v>
      </c>
      <c r="D50" s="128" t="s">
        <v>157</v>
      </c>
      <c r="E50" s="128" t="s">
        <v>17</v>
      </c>
      <c r="F50" s="128">
        <v>47.0</v>
      </c>
      <c r="G50" s="14" t="s">
        <v>2423</v>
      </c>
      <c r="H50" s="197" t="s">
        <v>2439</v>
      </c>
      <c r="I50" s="197" t="s">
        <v>2440</v>
      </c>
      <c r="J50" s="197" t="s">
        <v>2603</v>
      </c>
      <c r="K50" s="197" t="s">
        <v>2604</v>
      </c>
      <c r="L50" s="197" t="s">
        <v>1509</v>
      </c>
      <c r="M50" s="197" t="s">
        <v>2605</v>
      </c>
      <c r="N50" s="128">
        <v>47.0</v>
      </c>
      <c r="O50" s="128" t="s">
        <v>136</v>
      </c>
    </row>
    <row r="51" ht="37.5" customHeight="1">
      <c r="A51" s="128"/>
      <c r="B51" s="128" t="s">
        <v>806</v>
      </c>
      <c r="C51" s="128">
        <v>26.0</v>
      </c>
      <c r="D51" s="128" t="s">
        <v>157</v>
      </c>
      <c r="E51" s="128" t="s">
        <v>264</v>
      </c>
      <c r="F51" s="128">
        <v>54.0</v>
      </c>
      <c r="G51" s="14" t="s">
        <v>2423</v>
      </c>
      <c r="H51" s="197" t="s">
        <v>2439</v>
      </c>
      <c r="I51" s="197" t="s">
        <v>2440</v>
      </c>
      <c r="J51" s="197" t="s">
        <v>2606</v>
      </c>
      <c r="K51" s="197" t="s">
        <v>986</v>
      </c>
      <c r="L51" s="197" t="s">
        <v>720</v>
      </c>
      <c r="M51" s="197" t="s">
        <v>2607</v>
      </c>
      <c r="N51" s="128">
        <v>48.0</v>
      </c>
      <c r="O51" s="128" t="s">
        <v>136</v>
      </c>
    </row>
    <row r="52" ht="37.5" customHeight="1">
      <c r="A52" s="13"/>
      <c r="B52" s="128" t="s">
        <v>2608</v>
      </c>
      <c r="C52" s="128">
        <v>29.0</v>
      </c>
      <c r="D52" s="14" t="s">
        <v>157</v>
      </c>
      <c r="E52" s="14" t="s">
        <v>264</v>
      </c>
      <c r="F52" s="128">
        <v>51.0</v>
      </c>
      <c r="G52" s="14" t="s">
        <v>2423</v>
      </c>
      <c r="H52" s="197" t="s">
        <v>2439</v>
      </c>
      <c r="I52" s="197" t="s">
        <v>2440</v>
      </c>
      <c r="J52" s="198" t="s">
        <v>2609</v>
      </c>
      <c r="K52" s="198" t="s">
        <v>2610</v>
      </c>
      <c r="L52" s="198" t="s">
        <v>1527</v>
      </c>
      <c r="M52" s="197" t="s">
        <v>2611</v>
      </c>
      <c r="N52" s="128">
        <v>49.0</v>
      </c>
      <c r="O52" s="128" t="s">
        <v>136</v>
      </c>
    </row>
    <row r="53" ht="37.5" customHeight="1">
      <c r="A53" s="13"/>
      <c r="B53" s="128" t="s">
        <v>2612</v>
      </c>
      <c r="C53" s="128">
        <v>20.0</v>
      </c>
      <c r="D53" s="14" t="s">
        <v>65</v>
      </c>
      <c r="E53" s="14" t="s">
        <v>14</v>
      </c>
      <c r="F53" s="128">
        <v>54.0</v>
      </c>
      <c r="G53" s="128" t="s">
        <v>2597</v>
      </c>
      <c r="H53" s="197" t="s">
        <v>2439</v>
      </c>
      <c r="I53" s="197" t="s">
        <v>2440</v>
      </c>
      <c r="J53" s="198" t="s">
        <v>2613</v>
      </c>
      <c r="K53" s="198" t="s">
        <v>2614</v>
      </c>
      <c r="L53" s="198" t="s">
        <v>2600</v>
      </c>
      <c r="M53" s="197" t="s">
        <v>2615</v>
      </c>
      <c r="N53" s="128">
        <v>50.0</v>
      </c>
      <c r="O53" s="128" t="s">
        <v>136</v>
      </c>
    </row>
    <row r="54" ht="37.5" customHeight="1">
      <c r="A54" s="13"/>
      <c r="B54" s="128" t="s">
        <v>2616</v>
      </c>
      <c r="C54" s="128">
        <v>29.0</v>
      </c>
      <c r="D54" s="14" t="s">
        <v>65</v>
      </c>
      <c r="E54" s="128" t="s">
        <v>264</v>
      </c>
      <c r="F54" s="128">
        <v>54.0</v>
      </c>
      <c r="G54" s="14" t="s">
        <v>2423</v>
      </c>
      <c r="H54" s="197" t="s">
        <v>2439</v>
      </c>
      <c r="I54" s="197" t="s">
        <v>2440</v>
      </c>
      <c r="J54" s="198" t="s">
        <v>2617</v>
      </c>
      <c r="K54" s="198" t="s">
        <v>2537</v>
      </c>
      <c r="L54" s="198" t="s">
        <v>1075</v>
      </c>
      <c r="M54" s="197" t="s">
        <v>2618</v>
      </c>
      <c r="N54" s="128">
        <v>51.0</v>
      </c>
      <c r="O54" s="128" t="s">
        <v>136</v>
      </c>
    </row>
    <row r="55" ht="37.5" customHeight="1">
      <c r="A55" s="13"/>
      <c r="B55" s="128" t="s">
        <v>2619</v>
      </c>
      <c r="C55" s="128">
        <v>23.0</v>
      </c>
      <c r="D55" s="14" t="s">
        <v>94</v>
      </c>
      <c r="E55" s="14" t="s">
        <v>13</v>
      </c>
      <c r="F55" s="128">
        <v>54.0</v>
      </c>
      <c r="G55" s="128" t="s">
        <v>2423</v>
      </c>
      <c r="H55" s="197" t="s">
        <v>2439</v>
      </c>
      <c r="I55" s="197" t="s">
        <v>2440</v>
      </c>
      <c r="J55" s="197" t="s">
        <v>2620</v>
      </c>
      <c r="K55" s="197" t="s">
        <v>2621</v>
      </c>
      <c r="L55" s="197" t="s">
        <v>1087</v>
      </c>
      <c r="M55" s="197" t="s">
        <v>2622</v>
      </c>
      <c r="N55" s="128">
        <v>52.0</v>
      </c>
      <c r="O55" s="128" t="s">
        <v>136</v>
      </c>
    </row>
    <row r="56" ht="37.5" customHeight="1">
      <c r="A56" s="13"/>
      <c r="B56" s="128" t="s">
        <v>2623</v>
      </c>
      <c r="C56" s="128">
        <v>20.0</v>
      </c>
      <c r="D56" s="128" t="s">
        <v>73</v>
      </c>
      <c r="E56" s="128" t="s">
        <v>13</v>
      </c>
      <c r="F56" s="128">
        <v>51.0</v>
      </c>
      <c r="G56" s="128" t="s">
        <v>2597</v>
      </c>
      <c r="H56" s="197" t="s">
        <v>2439</v>
      </c>
      <c r="I56" s="197" t="s">
        <v>2440</v>
      </c>
      <c r="J56" s="198" t="s">
        <v>970</v>
      </c>
      <c r="K56" s="198" t="s">
        <v>1584</v>
      </c>
      <c r="L56" s="198" t="s">
        <v>2624</v>
      </c>
      <c r="M56" s="197" t="s">
        <v>2625</v>
      </c>
      <c r="N56" s="128">
        <v>53.0</v>
      </c>
      <c r="O56" s="128" t="s">
        <v>136</v>
      </c>
    </row>
    <row r="57" ht="37.5" customHeight="1">
      <c r="A57" s="13"/>
      <c r="B57" s="128" t="s">
        <v>2626</v>
      </c>
      <c r="C57" s="128">
        <v>21.0</v>
      </c>
      <c r="D57" s="128" t="s">
        <v>83</v>
      </c>
      <c r="E57" s="14" t="s">
        <v>13</v>
      </c>
      <c r="F57" s="128">
        <v>54.0</v>
      </c>
      <c r="G57" s="14" t="s">
        <v>2423</v>
      </c>
      <c r="H57" s="197" t="s">
        <v>2439</v>
      </c>
      <c r="I57" s="197" t="s">
        <v>2440</v>
      </c>
      <c r="J57" s="197" t="s">
        <v>183</v>
      </c>
      <c r="K57" s="197" t="s">
        <v>2627</v>
      </c>
      <c r="L57" s="197" t="s">
        <v>2628</v>
      </c>
      <c r="M57" s="197" t="s">
        <v>2629</v>
      </c>
      <c r="N57" s="128">
        <v>54.0</v>
      </c>
      <c r="O57" s="128" t="s">
        <v>167</v>
      </c>
    </row>
    <row r="58" ht="37.5" customHeight="1">
      <c r="A58" s="13"/>
      <c r="B58" s="128" t="s">
        <v>2630</v>
      </c>
      <c r="C58" s="128">
        <v>29.0</v>
      </c>
      <c r="D58" s="14" t="s">
        <v>65</v>
      </c>
      <c r="E58" s="128" t="s">
        <v>14</v>
      </c>
      <c r="F58" s="128">
        <v>53.0</v>
      </c>
      <c r="G58" s="128" t="s">
        <v>2423</v>
      </c>
      <c r="H58" s="197" t="s">
        <v>2439</v>
      </c>
      <c r="I58" s="197" t="s">
        <v>2440</v>
      </c>
      <c r="J58" s="197" t="s">
        <v>2631</v>
      </c>
      <c r="K58" s="197" t="s">
        <v>1005</v>
      </c>
      <c r="L58" s="197" t="s">
        <v>2632</v>
      </c>
      <c r="M58" s="197" t="s">
        <v>2633</v>
      </c>
      <c r="N58" s="128">
        <v>55.0</v>
      </c>
      <c r="O58" s="128" t="s">
        <v>167</v>
      </c>
    </row>
    <row r="59" ht="37.5" customHeight="1">
      <c r="A59" s="13"/>
      <c r="B59" s="128" t="s">
        <v>2634</v>
      </c>
      <c r="C59" s="128">
        <v>15.0</v>
      </c>
      <c r="D59" s="128" t="s">
        <v>89</v>
      </c>
      <c r="E59" s="128" t="s">
        <v>13</v>
      </c>
      <c r="F59" s="128">
        <v>52.0</v>
      </c>
      <c r="G59" s="128" t="s">
        <v>2597</v>
      </c>
      <c r="H59" s="197" t="s">
        <v>2439</v>
      </c>
      <c r="I59" s="197" t="s">
        <v>2440</v>
      </c>
      <c r="J59" s="197" t="s">
        <v>2635</v>
      </c>
      <c r="K59" s="197" t="s">
        <v>2636</v>
      </c>
      <c r="L59" s="197" t="s">
        <v>75</v>
      </c>
      <c r="M59" s="197" t="s">
        <v>2637</v>
      </c>
      <c r="N59" s="128">
        <v>56.0</v>
      </c>
      <c r="O59" s="128" t="s">
        <v>167</v>
      </c>
    </row>
    <row r="60" ht="37.5" customHeight="1">
      <c r="A60" s="13"/>
      <c r="B60" s="128" t="s">
        <v>2638</v>
      </c>
      <c r="C60" s="128">
        <v>29.0</v>
      </c>
      <c r="D60" s="128" t="s">
        <v>83</v>
      </c>
      <c r="E60" s="14" t="s">
        <v>13</v>
      </c>
      <c r="F60" s="128">
        <v>54.0</v>
      </c>
      <c r="G60" s="14" t="s">
        <v>2423</v>
      </c>
      <c r="H60" s="197" t="s">
        <v>2439</v>
      </c>
      <c r="I60" s="197" t="s">
        <v>2440</v>
      </c>
      <c r="J60" s="197" t="s">
        <v>989</v>
      </c>
      <c r="K60" s="197" t="s">
        <v>2639</v>
      </c>
      <c r="L60" s="197" t="s">
        <v>1532</v>
      </c>
      <c r="M60" s="197" t="s">
        <v>2640</v>
      </c>
      <c r="N60" s="128">
        <v>57.0</v>
      </c>
      <c r="O60" s="128" t="s">
        <v>423</v>
      </c>
    </row>
    <row r="61" ht="37.5" customHeight="1">
      <c r="A61" s="13"/>
      <c r="B61" s="128" t="s">
        <v>2641</v>
      </c>
      <c r="C61" s="128">
        <v>19.0</v>
      </c>
      <c r="D61" s="14" t="s">
        <v>89</v>
      </c>
      <c r="E61" s="14" t="s">
        <v>264</v>
      </c>
      <c r="F61" s="128">
        <v>46.0</v>
      </c>
      <c r="G61" s="128" t="s">
        <v>2597</v>
      </c>
      <c r="H61" s="197" t="s">
        <v>2439</v>
      </c>
      <c r="I61" s="197" t="s">
        <v>2440</v>
      </c>
      <c r="J61" s="197" t="s">
        <v>269</v>
      </c>
      <c r="K61" s="197" t="s">
        <v>2642</v>
      </c>
      <c r="L61" s="198" t="s">
        <v>1527</v>
      </c>
      <c r="M61" s="197" t="s">
        <v>2643</v>
      </c>
      <c r="N61" s="128">
        <v>58.0</v>
      </c>
      <c r="O61" s="128" t="s">
        <v>447</v>
      </c>
    </row>
    <row r="62" ht="37.5" customHeight="1">
      <c r="A62" s="13"/>
      <c r="B62" s="128" t="s">
        <v>2644</v>
      </c>
      <c r="C62" s="128">
        <v>29.0</v>
      </c>
      <c r="D62" s="14" t="s">
        <v>89</v>
      </c>
      <c r="E62" s="14" t="s">
        <v>17</v>
      </c>
      <c r="F62" s="128">
        <v>54.0</v>
      </c>
      <c r="G62" s="14" t="s">
        <v>2423</v>
      </c>
      <c r="H62" s="197" t="s">
        <v>2439</v>
      </c>
      <c r="I62" s="197" t="s">
        <v>2440</v>
      </c>
      <c r="J62" s="198" t="s">
        <v>74</v>
      </c>
      <c r="K62" s="198" t="s">
        <v>1643</v>
      </c>
      <c r="L62" s="198" t="s">
        <v>2645</v>
      </c>
      <c r="M62" s="197" t="s">
        <v>2646</v>
      </c>
      <c r="N62" s="128">
        <v>59.0</v>
      </c>
      <c r="O62" s="128" t="s">
        <v>447</v>
      </c>
    </row>
    <row r="63" ht="37.5" customHeight="1">
      <c r="A63" s="13"/>
      <c r="B63" s="128" t="s">
        <v>2647</v>
      </c>
      <c r="C63" s="128">
        <v>14.0</v>
      </c>
      <c r="D63" s="14" t="s">
        <v>65</v>
      </c>
      <c r="E63" s="128" t="s">
        <v>17</v>
      </c>
      <c r="F63" s="128">
        <v>60.0</v>
      </c>
      <c r="G63" s="128" t="s">
        <v>2597</v>
      </c>
      <c r="H63" s="197" t="s">
        <v>2439</v>
      </c>
      <c r="I63" s="197" t="s">
        <v>2440</v>
      </c>
      <c r="J63" s="197" t="s">
        <v>2648</v>
      </c>
      <c r="K63" s="197" t="s">
        <v>1005</v>
      </c>
      <c r="L63" s="197" t="s">
        <v>75</v>
      </c>
      <c r="M63" s="197" t="s">
        <v>2649</v>
      </c>
      <c r="N63" s="128">
        <v>60.0</v>
      </c>
      <c r="O63" s="128" t="s">
        <v>447</v>
      </c>
    </row>
  </sheetData>
  <autoFilter ref="$A$2:$O$63">
    <sortState ref="A2:O63">
      <sortCondition ref="N2:N63"/>
      <sortCondition ref="B2:B63"/>
    </sortState>
  </autoFilter>
  <mergeCells count="4">
    <mergeCell ref="A1:B1"/>
    <mergeCell ref="C1:G1"/>
    <mergeCell ref="H1:L1"/>
    <mergeCell ref="M1:O1"/>
  </mergeCells>
  <conditionalFormatting sqref="D3:D63">
    <cfRule type="cellIs" dxfId="19" priority="1" operator="equal">
      <formula>"Kinetic"</formula>
    </cfRule>
  </conditionalFormatting>
  <conditionalFormatting sqref="O3:O15 O17:O63">
    <cfRule type="cellIs" dxfId="3" priority="2" operator="equal">
      <formula>"F"</formula>
    </cfRule>
  </conditionalFormatting>
  <conditionalFormatting sqref="O3:O15 O17:O63">
    <cfRule type="cellIs" dxfId="4" priority="3" operator="equal">
      <formula>"E"</formula>
    </cfRule>
  </conditionalFormatting>
  <conditionalFormatting sqref="N3:O63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63">
    <cfRule type="cellIs" dxfId="13" priority="5" operator="equal">
      <formula>"Solar"</formula>
    </cfRule>
  </conditionalFormatting>
  <conditionalFormatting sqref="D3:D63">
    <cfRule type="cellIs" dxfId="20" priority="6" operator="equal">
      <formula>"Arc"</formula>
    </cfRule>
  </conditionalFormatting>
  <conditionalFormatting sqref="D3:D63">
    <cfRule type="cellIs" dxfId="21" priority="7" operator="equal">
      <formula>"Stasis"</formula>
    </cfRule>
  </conditionalFormatting>
  <conditionalFormatting sqref="D3:D63">
    <cfRule type="cellIs" dxfId="18" priority="8" operator="equal">
      <formula>"Void"</formula>
    </cfRule>
  </conditionalFormatting>
  <conditionalFormatting sqref="D3:D63">
    <cfRule type="cellIs" dxfId="17" priority="9" operator="equal">
      <formula>"Strand"</formula>
    </cfRule>
  </conditionalFormatting>
  <conditionalFormatting sqref="G3:G63">
    <cfRule type="cellIs" dxfId="17" priority="10" operator="equal">
      <formula>"Yes"</formula>
    </cfRule>
  </conditionalFormatting>
  <conditionalFormatting sqref="G3:G63">
    <cfRule type="cellIs" dxfId="2" priority="11" operator="equal">
      <formula>"No"</formula>
    </cfRule>
  </conditionalFormatting>
  <conditionalFormatting sqref="O3:O63">
    <cfRule type="cellIs" dxfId="5" priority="12" operator="equal">
      <formula>"S"</formula>
    </cfRule>
  </conditionalFormatting>
  <conditionalFormatting sqref="O3:O63">
    <cfRule type="cellIs" dxfId="6" priority="13" operator="equal">
      <formula>"B"</formula>
    </cfRule>
  </conditionalFormatting>
  <conditionalFormatting sqref="O3:O63">
    <cfRule type="cellIs" dxfId="7" priority="14" operator="equal">
      <formula>"D"</formula>
    </cfRule>
  </conditionalFormatting>
  <conditionalFormatting sqref="O3:O63">
    <cfRule type="cellIs" dxfId="8" priority="15" operator="equal">
      <formula>"C"</formula>
    </cfRule>
  </conditionalFormatting>
  <conditionalFormatting sqref="O3:O63">
    <cfRule type="cellIs" dxfId="9" priority="16" operator="equal">
      <formula>"A"</formula>
    </cfRule>
  </conditionalFormatting>
  <conditionalFormatting sqref="F3:F63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63">
    <cfRule type="expression" dxfId="12" priority="18">
      <formula>$C3=MAX($C$3:$C63)</formula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2037</v>
      </c>
      <c r="C3" s="128">
        <v>29.0</v>
      </c>
      <c r="D3" s="128" t="s">
        <v>65</v>
      </c>
      <c r="E3" s="128" t="s">
        <v>17</v>
      </c>
      <c r="F3" s="128">
        <v>53.0</v>
      </c>
      <c r="G3" s="128" t="s">
        <v>2423</v>
      </c>
      <c r="H3" s="197" t="s">
        <v>2650</v>
      </c>
      <c r="I3" s="197" t="s">
        <v>2651</v>
      </c>
      <c r="J3" s="197" t="s">
        <v>1587</v>
      </c>
      <c r="K3" s="197" t="s">
        <v>2652</v>
      </c>
      <c r="L3" s="197" t="s">
        <v>1087</v>
      </c>
      <c r="M3" s="197" t="s">
        <v>2653</v>
      </c>
      <c r="N3" s="128">
        <v>1.0</v>
      </c>
      <c r="O3" s="128" t="s">
        <v>71</v>
      </c>
    </row>
    <row r="4" ht="37.5" customHeight="1">
      <c r="A4" s="13"/>
      <c r="B4" s="128" t="s">
        <v>2654</v>
      </c>
      <c r="C4" s="128">
        <v>29.0</v>
      </c>
      <c r="D4" s="128" t="s">
        <v>89</v>
      </c>
      <c r="E4" s="128" t="s">
        <v>17</v>
      </c>
      <c r="F4" s="128">
        <v>54.0</v>
      </c>
      <c r="G4" s="128" t="s">
        <v>2423</v>
      </c>
      <c r="H4" s="197" t="s">
        <v>2650</v>
      </c>
      <c r="I4" s="197" t="s">
        <v>2651</v>
      </c>
      <c r="J4" s="197" t="s">
        <v>2655</v>
      </c>
      <c r="K4" s="197" t="s">
        <v>2656</v>
      </c>
      <c r="L4" s="197" t="s">
        <v>2462</v>
      </c>
      <c r="M4" s="197" t="s">
        <v>2657</v>
      </c>
      <c r="N4" s="128">
        <v>2.0</v>
      </c>
      <c r="O4" s="128" t="s">
        <v>71</v>
      </c>
    </row>
    <row r="5" ht="37.5" customHeight="1">
      <c r="A5" s="14"/>
      <c r="B5" s="128" t="s">
        <v>2658</v>
      </c>
      <c r="C5" s="128">
        <v>29.0</v>
      </c>
      <c r="D5" s="128" t="s">
        <v>157</v>
      </c>
      <c r="E5" s="128" t="s">
        <v>24</v>
      </c>
      <c r="F5" s="128">
        <v>66.0</v>
      </c>
      <c r="G5" s="128" t="s">
        <v>2423</v>
      </c>
      <c r="H5" s="197" t="s">
        <v>2650</v>
      </c>
      <c r="I5" s="197" t="s">
        <v>2651</v>
      </c>
      <c r="J5" s="197" t="s">
        <v>2659</v>
      </c>
      <c r="K5" s="197" t="s">
        <v>2660</v>
      </c>
      <c r="L5" s="197" t="s">
        <v>2467</v>
      </c>
      <c r="M5" s="197" t="s">
        <v>2661</v>
      </c>
      <c r="N5" s="128">
        <v>3.0</v>
      </c>
      <c r="O5" s="128" t="s">
        <v>71</v>
      </c>
    </row>
    <row r="6" ht="37.5" customHeight="1">
      <c r="A6" s="13"/>
      <c r="B6" s="128" t="s">
        <v>1406</v>
      </c>
      <c r="C6" s="128">
        <v>29.0</v>
      </c>
      <c r="D6" s="128" t="s">
        <v>65</v>
      </c>
      <c r="E6" s="128" t="s">
        <v>17</v>
      </c>
      <c r="F6" s="128">
        <v>58.0</v>
      </c>
      <c r="G6" s="128" t="s">
        <v>2423</v>
      </c>
      <c r="H6" s="197" t="s">
        <v>2650</v>
      </c>
      <c r="I6" s="197" t="s">
        <v>2651</v>
      </c>
      <c r="J6" s="197" t="s">
        <v>2662</v>
      </c>
      <c r="K6" s="197" t="s">
        <v>2663</v>
      </c>
      <c r="L6" s="197" t="s">
        <v>1063</v>
      </c>
      <c r="M6" s="197" t="s">
        <v>2664</v>
      </c>
      <c r="N6" s="128">
        <v>4.0</v>
      </c>
      <c r="O6" s="128" t="s">
        <v>71</v>
      </c>
    </row>
    <row r="7" ht="37.5" customHeight="1">
      <c r="A7" s="128"/>
      <c r="B7" s="128" t="s">
        <v>1270</v>
      </c>
      <c r="C7" s="128">
        <v>29.0</v>
      </c>
      <c r="D7" s="128" t="s">
        <v>89</v>
      </c>
      <c r="E7" s="128" t="s">
        <v>17</v>
      </c>
      <c r="F7" s="128">
        <v>60.0</v>
      </c>
      <c r="G7" s="128" t="s">
        <v>2423</v>
      </c>
      <c r="H7" s="197" t="s">
        <v>2650</v>
      </c>
      <c r="I7" s="197" t="s">
        <v>2651</v>
      </c>
      <c r="J7" s="197" t="s">
        <v>2665</v>
      </c>
      <c r="K7" s="197" t="s">
        <v>2666</v>
      </c>
      <c r="L7" s="197" t="s">
        <v>1212</v>
      </c>
      <c r="M7" s="197" t="s">
        <v>2667</v>
      </c>
      <c r="N7" s="128">
        <v>5.0</v>
      </c>
      <c r="O7" s="128" t="s">
        <v>71</v>
      </c>
    </row>
    <row r="8" ht="37.5" customHeight="1">
      <c r="A8" s="13"/>
      <c r="B8" s="128" t="s">
        <v>586</v>
      </c>
      <c r="C8" s="128">
        <v>27.0</v>
      </c>
      <c r="D8" s="128" t="s">
        <v>94</v>
      </c>
      <c r="E8" s="128" t="s">
        <v>24</v>
      </c>
      <c r="F8" s="128">
        <v>70.0</v>
      </c>
      <c r="G8" s="128" t="s">
        <v>2423</v>
      </c>
      <c r="H8" s="197" t="s">
        <v>2650</v>
      </c>
      <c r="I8" s="197" t="s">
        <v>2651</v>
      </c>
      <c r="J8" s="197" t="s">
        <v>2668</v>
      </c>
      <c r="K8" s="197" t="s">
        <v>2669</v>
      </c>
      <c r="L8" s="197" t="s">
        <v>2600</v>
      </c>
      <c r="M8" s="197" t="s">
        <v>2670</v>
      </c>
      <c r="N8" s="128">
        <v>6.0</v>
      </c>
      <c r="O8" s="128" t="s">
        <v>92</v>
      </c>
    </row>
    <row r="9" ht="37.5" customHeight="1">
      <c r="A9" s="13"/>
      <c r="B9" s="128" t="s">
        <v>825</v>
      </c>
      <c r="C9" s="128">
        <v>26.0</v>
      </c>
      <c r="D9" s="128" t="s">
        <v>94</v>
      </c>
      <c r="E9" s="128" t="s">
        <v>24</v>
      </c>
      <c r="F9" s="128">
        <v>62.0</v>
      </c>
      <c r="G9" s="128" t="s">
        <v>2423</v>
      </c>
      <c r="H9" s="197" t="s">
        <v>2650</v>
      </c>
      <c r="I9" s="197" t="s">
        <v>2651</v>
      </c>
      <c r="J9" s="197" t="s">
        <v>2671</v>
      </c>
      <c r="K9" s="197" t="s">
        <v>2669</v>
      </c>
      <c r="L9" s="197" t="s">
        <v>279</v>
      </c>
      <c r="M9" s="197" t="s">
        <v>2672</v>
      </c>
      <c r="N9" s="128">
        <v>7.0</v>
      </c>
      <c r="O9" s="128" t="s">
        <v>92</v>
      </c>
    </row>
    <row r="10" ht="37.5" customHeight="1">
      <c r="A10" s="13"/>
      <c r="B10" s="128" t="s">
        <v>1402</v>
      </c>
      <c r="C10" s="128">
        <v>29.0</v>
      </c>
      <c r="D10" s="128" t="s">
        <v>73</v>
      </c>
      <c r="E10" s="128" t="s">
        <v>17</v>
      </c>
      <c r="F10" s="128">
        <v>55.0</v>
      </c>
      <c r="G10" s="128" t="s">
        <v>2423</v>
      </c>
      <c r="H10" s="197" t="s">
        <v>2650</v>
      </c>
      <c r="I10" s="197" t="s">
        <v>2651</v>
      </c>
      <c r="J10" s="197" t="s">
        <v>2673</v>
      </c>
      <c r="K10" s="197" t="s">
        <v>2674</v>
      </c>
      <c r="L10" s="197" t="s">
        <v>425</v>
      </c>
      <c r="M10" s="197" t="s">
        <v>2675</v>
      </c>
      <c r="N10" s="128">
        <v>8.0</v>
      </c>
      <c r="O10" s="128" t="s">
        <v>92</v>
      </c>
    </row>
    <row r="11" ht="37.5" customHeight="1">
      <c r="A11" s="13"/>
      <c r="B11" s="128" t="s">
        <v>584</v>
      </c>
      <c r="C11" s="128">
        <v>27.0</v>
      </c>
      <c r="D11" s="128" t="s">
        <v>73</v>
      </c>
      <c r="E11" s="128" t="s">
        <v>17</v>
      </c>
      <c r="F11" s="128">
        <v>53.0</v>
      </c>
      <c r="G11" s="128" t="s">
        <v>2423</v>
      </c>
      <c r="H11" s="197" t="s">
        <v>2650</v>
      </c>
      <c r="I11" s="197" t="s">
        <v>2651</v>
      </c>
      <c r="J11" s="197" t="s">
        <v>2676</v>
      </c>
      <c r="K11" s="197" t="s">
        <v>2677</v>
      </c>
      <c r="L11" s="197" t="s">
        <v>1087</v>
      </c>
      <c r="M11" s="197" t="s">
        <v>2678</v>
      </c>
      <c r="N11" s="128">
        <v>9.0</v>
      </c>
      <c r="O11" s="128" t="s">
        <v>92</v>
      </c>
    </row>
    <row r="12" ht="37.5" customHeight="1">
      <c r="A12" s="13"/>
      <c r="B12" s="128" t="s">
        <v>1404</v>
      </c>
      <c r="C12" s="128">
        <v>29.0</v>
      </c>
      <c r="D12" s="128" t="s">
        <v>73</v>
      </c>
      <c r="E12" s="128" t="s">
        <v>24</v>
      </c>
      <c r="F12" s="128">
        <v>68.0</v>
      </c>
      <c r="G12" s="128" t="s">
        <v>2423</v>
      </c>
      <c r="H12" s="197" t="s">
        <v>2650</v>
      </c>
      <c r="I12" s="197" t="s">
        <v>2651</v>
      </c>
      <c r="J12" s="197" t="s">
        <v>2679</v>
      </c>
      <c r="K12" s="197" t="s">
        <v>2680</v>
      </c>
      <c r="L12" s="197" t="s">
        <v>1536</v>
      </c>
      <c r="M12" s="197" t="s">
        <v>2681</v>
      </c>
      <c r="N12" s="128">
        <v>10.0</v>
      </c>
      <c r="O12" s="128" t="s">
        <v>92</v>
      </c>
    </row>
    <row r="13" ht="37.5" customHeight="1">
      <c r="A13" s="128"/>
      <c r="B13" s="128" t="s">
        <v>2682</v>
      </c>
      <c r="C13" s="128">
        <v>29.0</v>
      </c>
      <c r="D13" s="128" t="s">
        <v>94</v>
      </c>
      <c r="E13" s="128" t="s">
        <v>2202</v>
      </c>
      <c r="F13" s="128">
        <v>41.0</v>
      </c>
      <c r="G13" s="128" t="s">
        <v>2423</v>
      </c>
      <c r="H13" s="197" t="s">
        <v>2650</v>
      </c>
      <c r="I13" s="197" t="s">
        <v>2651</v>
      </c>
      <c r="J13" s="197" t="s">
        <v>2683</v>
      </c>
      <c r="K13" s="197" t="s">
        <v>2474</v>
      </c>
      <c r="L13" s="197" t="s">
        <v>2457</v>
      </c>
      <c r="M13" s="197" t="s">
        <v>2684</v>
      </c>
      <c r="N13" s="128">
        <v>11.0</v>
      </c>
      <c r="O13" s="128" t="s">
        <v>92</v>
      </c>
    </row>
    <row r="14" ht="37.5" customHeight="1">
      <c r="A14" s="128"/>
      <c r="B14" s="128" t="s">
        <v>505</v>
      </c>
      <c r="C14" s="128">
        <v>28.0</v>
      </c>
      <c r="D14" s="128" t="s">
        <v>65</v>
      </c>
      <c r="E14" s="128" t="s">
        <v>17</v>
      </c>
      <c r="F14" s="128">
        <v>52.0</v>
      </c>
      <c r="G14" s="128" t="s">
        <v>2423</v>
      </c>
      <c r="H14" s="197" t="s">
        <v>2650</v>
      </c>
      <c r="I14" s="197" t="s">
        <v>2651</v>
      </c>
      <c r="J14" s="197" t="s">
        <v>2685</v>
      </c>
      <c r="K14" s="197" t="s">
        <v>2686</v>
      </c>
      <c r="L14" s="197" t="s">
        <v>2538</v>
      </c>
      <c r="M14" s="197" t="s">
        <v>2687</v>
      </c>
      <c r="N14" s="128">
        <v>12.0</v>
      </c>
      <c r="O14" s="128" t="s">
        <v>92</v>
      </c>
    </row>
    <row r="15" ht="37.5" customHeight="1">
      <c r="A15" s="13"/>
      <c r="B15" s="128" t="s">
        <v>1400</v>
      </c>
      <c r="C15" s="128">
        <v>29.0</v>
      </c>
      <c r="D15" s="128" t="s">
        <v>83</v>
      </c>
      <c r="E15" s="128" t="s">
        <v>17</v>
      </c>
      <c r="F15" s="128">
        <v>53.0</v>
      </c>
      <c r="G15" s="128" t="s">
        <v>2423</v>
      </c>
      <c r="H15" s="197" t="s">
        <v>2650</v>
      </c>
      <c r="I15" s="197" t="s">
        <v>2651</v>
      </c>
      <c r="J15" s="197" t="s">
        <v>2688</v>
      </c>
      <c r="K15" s="197" t="s">
        <v>2689</v>
      </c>
      <c r="L15" s="197" t="s">
        <v>1506</v>
      </c>
      <c r="M15" s="197" t="s">
        <v>2690</v>
      </c>
      <c r="N15" s="128">
        <v>13.0</v>
      </c>
      <c r="O15" s="128" t="s">
        <v>92</v>
      </c>
    </row>
    <row r="16" ht="37.5" customHeight="1">
      <c r="A16" s="128"/>
      <c r="B16" s="128" t="s">
        <v>588</v>
      </c>
      <c r="C16" s="128">
        <v>27.0</v>
      </c>
      <c r="D16" s="128" t="s">
        <v>89</v>
      </c>
      <c r="E16" s="128" t="s">
        <v>2202</v>
      </c>
      <c r="F16" s="128">
        <v>50.0</v>
      </c>
      <c r="G16" s="128" t="s">
        <v>2423</v>
      </c>
      <c r="H16" s="197" t="s">
        <v>2650</v>
      </c>
      <c r="I16" s="197" t="s">
        <v>2651</v>
      </c>
      <c r="J16" s="197" t="s">
        <v>2691</v>
      </c>
      <c r="K16" s="197" t="s">
        <v>1653</v>
      </c>
      <c r="L16" s="197" t="s">
        <v>2692</v>
      </c>
      <c r="M16" s="197" t="s">
        <v>2693</v>
      </c>
      <c r="N16" s="128">
        <v>14.0</v>
      </c>
      <c r="O16" s="128" t="s">
        <v>92</v>
      </c>
    </row>
    <row r="17" ht="37.5" customHeight="1">
      <c r="A17" s="13"/>
      <c r="B17" s="128" t="s">
        <v>2694</v>
      </c>
      <c r="C17" s="128">
        <v>17.0</v>
      </c>
      <c r="D17" s="128" t="s">
        <v>73</v>
      </c>
      <c r="E17" s="128" t="s">
        <v>17</v>
      </c>
      <c r="F17" s="128">
        <v>59.0</v>
      </c>
      <c r="G17" s="128" t="s">
        <v>2597</v>
      </c>
      <c r="H17" s="197" t="s">
        <v>2650</v>
      </c>
      <c r="I17" s="197" t="s">
        <v>2651</v>
      </c>
      <c r="J17" s="197" t="s">
        <v>2695</v>
      </c>
      <c r="K17" s="197" t="s">
        <v>2696</v>
      </c>
      <c r="L17" s="197" t="s">
        <v>1085</v>
      </c>
      <c r="M17" s="197" t="s">
        <v>2697</v>
      </c>
      <c r="N17" s="128">
        <v>15.0</v>
      </c>
      <c r="O17" s="128" t="s">
        <v>120</v>
      </c>
    </row>
    <row r="18" ht="37.5" customHeight="1">
      <c r="A18" s="13"/>
      <c r="B18" s="128" t="s">
        <v>538</v>
      </c>
      <c r="C18" s="128">
        <v>27.0</v>
      </c>
      <c r="D18" s="128" t="s">
        <v>83</v>
      </c>
      <c r="E18" s="128" t="s">
        <v>17</v>
      </c>
      <c r="F18" s="128">
        <v>49.0</v>
      </c>
      <c r="G18" s="128" t="s">
        <v>2423</v>
      </c>
      <c r="H18" s="197" t="s">
        <v>2650</v>
      </c>
      <c r="I18" s="197" t="s">
        <v>2651</v>
      </c>
      <c r="J18" s="197" t="s">
        <v>2698</v>
      </c>
      <c r="K18" s="197" t="s">
        <v>2699</v>
      </c>
      <c r="L18" s="197" t="s">
        <v>1087</v>
      </c>
      <c r="M18" s="197" t="s">
        <v>2700</v>
      </c>
      <c r="N18" s="128">
        <v>16.0</v>
      </c>
      <c r="O18" s="128" t="s">
        <v>120</v>
      </c>
    </row>
    <row r="19" ht="37.5" customHeight="1">
      <c r="A19" s="13"/>
      <c r="B19" s="128" t="s">
        <v>2701</v>
      </c>
      <c r="C19" s="128">
        <v>29.0</v>
      </c>
      <c r="D19" s="128" t="s">
        <v>65</v>
      </c>
      <c r="E19" s="128" t="s">
        <v>24</v>
      </c>
      <c r="F19" s="128">
        <v>63.0</v>
      </c>
      <c r="G19" s="128" t="s">
        <v>2423</v>
      </c>
      <c r="H19" s="197" t="s">
        <v>2650</v>
      </c>
      <c r="I19" s="197" t="s">
        <v>2651</v>
      </c>
      <c r="J19" s="197" t="s">
        <v>2702</v>
      </c>
      <c r="K19" s="197" t="s">
        <v>965</v>
      </c>
      <c r="L19" s="197" t="s">
        <v>1059</v>
      </c>
      <c r="M19" s="197" t="s">
        <v>2703</v>
      </c>
      <c r="N19" s="128">
        <v>17.0</v>
      </c>
      <c r="O19" s="128" t="s">
        <v>120</v>
      </c>
    </row>
    <row r="20" ht="37.5" customHeight="1">
      <c r="A20" s="13"/>
      <c r="B20" s="128" t="s">
        <v>2704</v>
      </c>
      <c r="C20" s="128">
        <v>4.0</v>
      </c>
      <c r="D20" s="128" t="s">
        <v>65</v>
      </c>
      <c r="E20" s="128" t="s">
        <v>24</v>
      </c>
      <c r="F20" s="128">
        <v>70.0</v>
      </c>
      <c r="G20" s="128" t="s">
        <v>2597</v>
      </c>
      <c r="H20" s="197" t="s">
        <v>2650</v>
      </c>
      <c r="I20" s="197" t="s">
        <v>2651</v>
      </c>
      <c r="J20" s="197" t="s">
        <v>1587</v>
      </c>
      <c r="K20" s="197" t="s">
        <v>965</v>
      </c>
      <c r="L20" s="197" t="s">
        <v>75</v>
      </c>
      <c r="M20" s="197" t="s">
        <v>2703</v>
      </c>
      <c r="N20" s="128">
        <v>18.0</v>
      </c>
      <c r="O20" s="128" t="s">
        <v>120</v>
      </c>
    </row>
    <row r="21" ht="37.5" customHeight="1">
      <c r="A21" s="13"/>
      <c r="B21" s="128" t="s">
        <v>2705</v>
      </c>
      <c r="C21" s="128">
        <v>29.0</v>
      </c>
      <c r="D21" s="128" t="s">
        <v>94</v>
      </c>
      <c r="E21" s="128" t="s">
        <v>17</v>
      </c>
      <c r="F21" s="128">
        <v>51.0</v>
      </c>
      <c r="G21" s="128" t="s">
        <v>2423</v>
      </c>
      <c r="H21" s="197" t="s">
        <v>2650</v>
      </c>
      <c r="I21" s="197" t="s">
        <v>2651</v>
      </c>
      <c r="J21" s="197" t="s">
        <v>927</v>
      </c>
      <c r="K21" s="197" t="s">
        <v>2706</v>
      </c>
      <c r="L21" s="197" t="s">
        <v>2632</v>
      </c>
      <c r="M21" s="197" t="s">
        <v>2707</v>
      </c>
      <c r="N21" s="128">
        <v>19.0</v>
      </c>
      <c r="O21" s="128" t="s">
        <v>136</v>
      </c>
    </row>
    <row r="22" ht="37.5" customHeight="1">
      <c r="A22" s="13"/>
      <c r="B22" s="128" t="s">
        <v>1272</v>
      </c>
      <c r="C22" s="128">
        <v>29.0</v>
      </c>
      <c r="D22" s="128" t="s">
        <v>157</v>
      </c>
      <c r="E22" s="128" t="s">
        <v>17</v>
      </c>
      <c r="F22" s="128">
        <v>54.0</v>
      </c>
      <c r="G22" s="128" t="s">
        <v>2423</v>
      </c>
      <c r="H22" s="197" t="s">
        <v>2650</v>
      </c>
      <c r="I22" s="197" t="s">
        <v>2651</v>
      </c>
      <c r="J22" s="197" t="s">
        <v>2695</v>
      </c>
      <c r="K22" s="197" t="s">
        <v>2708</v>
      </c>
      <c r="L22" s="197" t="s">
        <v>1532</v>
      </c>
      <c r="M22" s="197" t="s">
        <v>2707</v>
      </c>
      <c r="N22" s="128">
        <v>20.0</v>
      </c>
      <c r="O22" s="128" t="s">
        <v>136</v>
      </c>
    </row>
    <row r="23" ht="37.5" customHeight="1">
      <c r="A23" s="13"/>
      <c r="B23" s="128" t="s">
        <v>2709</v>
      </c>
      <c r="C23" s="128">
        <v>15.0</v>
      </c>
      <c r="D23" s="128" t="s">
        <v>65</v>
      </c>
      <c r="E23" s="128" t="s">
        <v>17</v>
      </c>
      <c r="F23" s="128">
        <v>55.0</v>
      </c>
      <c r="G23" s="128" t="s">
        <v>2597</v>
      </c>
      <c r="H23" s="197" t="s">
        <v>2650</v>
      </c>
      <c r="I23" s="197" t="s">
        <v>2651</v>
      </c>
      <c r="J23" s="197" t="s">
        <v>2695</v>
      </c>
      <c r="K23" s="197" t="s">
        <v>2710</v>
      </c>
      <c r="L23" s="197" t="s">
        <v>75</v>
      </c>
      <c r="M23" s="197" t="s">
        <v>2707</v>
      </c>
      <c r="N23" s="128">
        <v>21.0</v>
      </c>
      <c r="O23" s="128" t="s">
        <v>136</v>
      </c>
    </row>
    <row r="24" ht="37.5" customHeight="1">
      <c r="A24" s="13"/>
      <c r="B24" s="128" t="s">
        <v>2711</v>
      </c>
      <c r="C24" s="128">
        <v>29.0</v>
      </c>
      <c r="D24" s="128" t="s">
        <v>89</v>
      </c>
      <c r="E24" s="128" t="s">
        <v>24</v>
      </c>
      <c r="F24" s="128">
        <v>59.0</v>
      </c>
      <c r="G24" s="128" t="s">
        <v>2423</v>
      </c>
      <c r="H24" s="197" t="s">
        <v>2650</v>
      </c>
      <c r="I24" s="197" t="s">
        <v>2651</v>
      </c>
      <c r="J24" s="197" t="s">
        <v>2695</v>
      </c>
      <c r="K24" s="197" t="s">
        <v>965</v>
      </c>
      <c r="L24" s="197" t="s">
        <v>1075</v>
      </c>
      <c r="M24" s="197" t="s">
        <v>2707</v>
      </c>
      <c r="N24" s="128">
        <v>22.0</v>
      </c>
      <c r="O24" s="128" t="s">
        <v>136</v>
      </c>
    </row>
    <row r="25" ht="37.5" customHeight="1">
      <c r="A25" s="13"/>
      <c r="B25" s="128" t="s">
        <v>2712</v>
      </c>
      <c r="C25" s="128">
        <v>13.0</v>
      </c>
      <c r="D25" s="128" t="s">
        <v>94</v>
      </c>
      <c r="E25" s="128" t="s">
        <v>24</v>
      </c>
      <c r="F25" s="128">
        <v>60.0</v>
      </c>
      <c r="G25" s="128" t="s">
        <v>2597</v>
      </c>
      <c r="H25" s="197" t="s">
        <v>2650</v>
      </c>
      <c r="I25" s="197" t="s">
        <v>2651</v>
      </c>
      <c r="J25" s="197" t="s">
        <v>927</v>
      </c>
      <c r="K25" s="197" t="s">
        <v>247</v>
      </c>
      <c r="L25" s="197" t="s">
        <v>75</v>
      </c>
      <c r="M25" s="197" t="s">
        <v>2713</v>
      </c>
      <c r="N25" s="128">
        <v>23.0</v>
      </c>
      <c r="O25" s="128" t="s">
        <v>167</v>
      </c>
    </row>
    <row r="26" ht="37.5" customHeight="1">
      <c r="A26" s="13"/>
      <c r="B26" s="128" t="s">
        <v>2714</v>
      </c>
      <c r="C26" s="128">
        <v>17.0</v>
      </c>
      <c r="D26" s="128" t="s">
        <v>157</v>
      </c>
      <c r="E26" s="128" t="s">
        <v>24</v>
      </c>
      <c r="F26" s="128">
        <v>64.0</v>
      </c>
      <c r="G26" s="128" t="s">
        <v>2597</v>
      </c>
      <c r="H26" s="197" t="s">
        <v>2650</v>
      </c>
      <c r="I26" s="197" t="s">
        <v>2651</v>
      </c>
      <c r="J26" s="197" t="s">
        <v>210</v>
      </c>
      <c r="K26" s="197" t="s">
        <v>986</v>
      </c>
      <c r="L26" s="197" t="s">
        <v>2600</v>
      </c>
      <c r="M26" s="197" t="s">
        <v>2715</v>
      </c>
      <c r="N26" s="128">
        <v>24.0</v>
      </c>
      <c r="O26" s="128" t="s">
        <v>167</v>
      </c>
    </row>
    <row r="27" ht="37.5" customHeight="1">
      <c r="A27" s="13"/>
      <c r="B27" s="128" t="s">
        <v>2716</v>
      </c>
      <c r="C27" s="128">
        <v>29.0</v>
      </c>
      <c r="D27" s="128" t="s">
        <v>94</v>
      </c>
      <c r="E27" s="128" t="s">
        <v>24</v>
      </c>
      <c r="F27" s="128">
        <v>63.0</v>
      </c>
      <c r="G27" s="128" t="s">
        <v>2423</v>
      </c>
      <c r="H27" s="197" t="s">
        <v>2650</v>
      </c>
      <c r="I27" s="197" t="s">
        <v>2651</v>
      </c>
      <c r="J27" s="197" t="s">
        <v>2717</v>
      </c>
      <c r="K27" s="197" t="s">
        <v>965</v>
      </c>
      <c r="L27" s="197" t="s">
        <v>1515</v>
      </c>
      <c r="M27" s="197" t="s">
        <v>2718</v>
      </c>
      <c r="N27" s="128">
        <v>25.0</v>
      </c>
      <c r="O27" s="128" t="s">
        <v>167</v>
      </c>
    </row>
    <row r="28" ht="37.5" customHeight="1">
      <c r="A28" s="128"/>
      <c r="B28" s="128" t="s">
        <v>797</v>
      </c>
      <c r="C28" s="128">
        <v>26.0</v>
      </c>
      <c r="D28" s="128" t="s">
        <v>89</v>
      </c>
      <c r="E28" s="128" t="s">
        <v>24</v>
      </c>
      <c r="F28" s="128">
        <v>59.0</v>
      </c>
      <c r="G28" s="128" t="s">
        <v>2423</v>
      </c>
      <c r="H28" s="197" t="s">
        <v>2650</v>
      </c>
      <c r="I28" s="197" t="s">
        <v>2651</v>
      </c>
      <c r="J28" s="197" t="s">
        <v>2719</v>
      </c>
      <c r="K28" s="197" t="s">
        <v>2720</v>
      </c>
      <c r="L28" s="197" t="s">
        <v>720</v>
      </c>
      <c r="M28" s="197" t="s">
        <v>2721</v>
      </c>
      <c r="N28" s="128">
        <v>26.0</v>
      </c>
      <c r="O28" s="128" t="s">
        <v>423</v>
      </c>
    </row>
    <row r="29" ht="37.5" customHeight="1">
      <c r="A29" s="13"/>
      <c r="B29" s="128" t="s">
        <v>2722</v>
      </c>
      <c r="C29" s="128">
        <v>20.0</v>
      </c>
      <c r="D29" s="128" t="s">
        <v>89</v>
      </c>
      <c r="E29" s="128" t="s">
        <v>24</v>
      </c>
      <c r="F29" s="128">
        <v>64.0</v>
      </c>
      <c r="G29" s="128" t="s">
        <v>2597</v>
      </c>
      <c r="H29" s="197" t="s">
        <v>2650</v>
      </c>
      <c r="I29" s="197" t="s">
        <v>2651</v>
      </c>
      <c r="J29" s="197" t="s">
        <v>2723</v>
      </c>
      <c r="K29" s="197" t="s">
        <v>2724</v>
      </c>
      <c r="L29" s="197" t="s">
        <v>2600</v>
      </c>
      <c r="M29" s="197" t="s">
        <v>2721</v>
      </c>
      <c r="N29" s="128">
        <v>27.0</v>
      </c>
      <c r="O29" s="128" t="s">
        <v>423</v>
      </c>
    </row>
    <row r="30" ht="37.5" customHeight="1">
      <c r="A30" s="13"/>
      <c r="B30" s="128" t="s">
        <v>2725</v>
      </c>
      <c r="C30" s="128">
        <v>25.0</v>
      </c>
      <c r="D30" s="128" t="s">
        <v>89</v>
      </c>
      <c r="E30" s="128" t="s">
        <v>17</v>
      </c>
      <c r="F30" s="128">
        <v>54.0</v>
      </c>
      <c r="G30" s="128" t="s">
        <v>2423</v>
      </c>
      <c r="H30" s="197" t="s">
        <v>2650</v>
      </c>
      <c r="I30" s="197" t="s">
        <v>2651</v>
      </c>
      <c r="J30" s="197" t="s">
        <v>1012</v>
      </c>
      <c r="K30" s="197" t="s">
        <v>141</v>
      </c>
      <c r="L30" s="197" t="s">
        <v>1087</v>
      </c>
      <c r="M30" s="197" t="s">
        <v>2726</v>
      </c>
      <c r="N30" s="128">
        <v>28.0</v>
      </c>
      <c r="O30" s="128" t="s">
        <v>423</v>
      </c>
    </row>
  </sheetData>
  <autoFilter ref="$A$2:$O$30">
    <sortState ref="A2:O30">
      <sortCondition ref="B2:B30"/>
      <sortCondition ref="N2:N30"/>
    </sortState>
  </autoFilter>
  <mergeCells count="4">
    <mergeCell ref="A1:B1"/>
    <mergeCell ref="C1:G1"/>
    <mergeCell ref="H1:L1"/>
    <mergeCell ref="M1:O1"/>
  </mergeCells>
  <conditionalFormatting sqref="D3:D30">
    <cfRule type="cellIs" dxfId="19" priority="1" operator="equal">
      <formula>"Kinetic"</formula>
    </cfRule>
  </conditionalFormatting>
  <conditionalFormatting sqref="O3:O30">
    <cfRule type="cellIs" dxfId="3" priority="2" operator="equal">
      <formula>"F"</formula>
    </cfRule>
  </conditionalFormatting>
  <conditionalFormatting sqref="O3:O30">
    <cfRule type="cellIs" dxfId="4" priority="3" operator="equal">
      <formula>"E"</formula>
    </cfRule>
  </conditionalFormatting>
  <conditionalFormatting sqref="N3:O3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30">
    <cfRule type="cellIs" dxfId="13" priority="5" operator="equal">
      <formula>"Solar"</formula>
    </cfRule>
  </conditionalFormatting>
  <conditionalFormatting sqref="D3:D30">
    <cfRule type="cellIs" dxfId="20" priority="6" operator="equal">
      <formula>"Arc"</formula>
    </cfRule>
  </conditionalFormatting>
  <conditionalFormatting sqref="D3:D30">
    <cfRule type="cellIs" dxfId="21" priority="7" operator="equal">
      <formula>"Stasis"</formula>
    </cfRule>
  </conditionalFormatting>
  <conditionalFormatting sqref="D3:D30">
    <cfRule type="cellIs" dxfId="18" priority="8" operator="equal">
      <formula>"Void"</formula>
    </cfRule>
  </conditionalFormatting>
  <conditionalFormatting sqref="D3:D30">
    <cfRule type="cellIs" dxfId="17" priority="9" operator="equal">
      <formula>"Strand"</formula>
    </cfRule>
  </conditionalFormatting>
  <conditionalFormatting sqref="G3:G30">
    <cfRule type="cellIs" dxfId="17" priority="10" operator="equal">
      <formula>"Yes"</formula>
    </cfRule>
  </conditionalFormatting>
  <conditionalFormatting sqref="G3:G30">
    <cfRule type="cellIs" dxfId="2" priority="11" operator="equal">
      <formula>"No"</formula>
    </cfRule>
  </conditionalFormatting>
  <conditionalFormatting sqref="O3:O30">
    <cfRule type="cellIs" dxfId="5" priority="12" operator="equal">
      <formula>"S"</formula>
    </cfRule>
  </conditionalFormatting>
  <conditionalFormatting sqref="O3:O30">
    <cfRule type="cellIs" dxfId="6" priority="13" operator="equal">
      <formula>"B"</formula>
    </cfRule>
  </conditionalFormatting>
  <conditionalFormatting sqref="O3:O30">
    <cfRule type="cellIs" dxfId="7" priority="14" operator="equal">
      <formula>"D"</formula>
    </cfRule>
  </conditionalFormatting>
  <conditionalFormatting sqref="O3:O30">
    <cfRule type="cellIs" dxfId="8" priority="15" operator="equal">
      <formula>"C"</formula>
    </cfRule>
  </conditionalFormatting>
  <conditionalFormatting sqref="O3:O30">
    <cfRule type="cellIs" dxfId="9" priority="16" operator="equal">
      <formula>"A"</formula>
    </cfRule>
  </conditionalFormatting>
  <conditionalFormatting sqref="F3:F30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30">
    <cfRule type="expression" dxfId="12" priority="18">
      <formula>$C3=MAX($C$6:$C30)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769</v>
      </c>
      <c r="C3" s="128">
        <v>29.0</v>
      </c>
      <c r="D3" s="128" t="s">
        <v>94</v>
      </c>
      <c r="E3" s="128" t="s">
        <v>17</v>
      </c>
      <c r="F3" s="128">
        <v>52.0</v>
      </c>
      <c r="G3" s="128" t="s">
        <v>2423</v>
      </c>
      <c r="H3" s="197" t="s">
        <v>2727</v>
      </c>
      <c r="I3" s="197" t="s">
        <v>2440</v>
      </c>
      <c r="J3" s="197" t="s">
        <v>1891</v>
      </c>
      <c r="K3" s="197" t="s">
        <v>900</v>
      </c>
      <c r="L3" s="197" t="s">
        <v>1503</v>
      </c>
      <c r="M3" s="197" t="s">
        <v>2728</v>
      </c>
      <c r="N3" s="128">
        <v>1.0</v>
      </c>
      <c r="O3" s="128" t="s">
        <v>71</v>
      </c>
    </row>
    <row r="4" ht="37.5" customHeight="1">
      <c r="A4" s="14"/>
      <c r="B4" s="128" t="s">
        <v>2729</v>
      </c>
      <c r="C4" s="128">
        <v>29.0</v>
      </c>
      <c r="D4" s="128" t="s">
        <v>94</v>
      </c>
      <c r="E4" s="128" t="s">
        <v>2126</v>
      </c>
      <c r="F4" s="128">
        <v>50.0</v>
      </c>
      <c r="G4" s="128" t="s">
        <v>2423</v>
      </c>
      <c r="H4" s="197" t="s">
        <v>2730</v>
      </c>
      <c r="I4" s="197" t="s">
        <v>2440</v>
      </c>
      <c r="J4" s="197" t="s">
        <v>2731</v>
      </c>
      <c r="K4" s="197" t="s">
        <v>2732</v>
      </c>
      <c r="L4" s="197" t="s">
        <v>2432</v>
      </c>
      <c r="M4" s="197" t="s">
        <v>2733</v>
      </c>
      <c r="N4" s="128">
        <v>2.0</v>
      </c>
      <c r="O4" s="128" t="s">
        <v>71</v>
      </c>
    </row>
    <row r="5" ht="37.5" customHeight="1">
      <c r="A5" s="13"/>
      <c r="B5" s="128" t="s">
        <v>1410</v>
      </c>
      <c r="C5" s="128">
        <v>29.0</v>
      </c>
      <c r="D5" s="128" t="s">
        <v>65</v>
      </c>
      <c r="E5" s="128" t="s">
        <v>17</v>
      </c>
      <c r="F5" s="128">
        <v>53.0</v>
      </c>
      <c r="G5" s="128" t="s">
        <v>2423</v>
      </c>
      <c r="H5" s="197" t="s">
        <v>2727</v>
      </c>
      <c r="I5" s="197" t="s">
        <v>2440</v>
      </c>
      <c r="J5" s="197" t="s">
        <v>322</v>
      </c>
      <c r="K5" s="197" t="s">
        <v>2734</v>
      </c>
      <c r="L5" s="197" t="s">
        <v>1519</v>
      </c>
      <c r="M5" s="197" t="s">
        <v>2735</v>
      </c>
      <c r="N5" s="128">
        <v>3.0</v>
      </c>
      <c r="O5" s="128" t="s">
        <v>71</v>
      </c>
    </row>
    <row r="6" ht="37.5" customHeight="1">
      <c r="A6" s="128"/>
      <c r="B6" s="128" t="s">
        <v>472</v>
      </c>
      <c r="C6" s="128">
        <v>28.0</v>
      </c>
      <c r="D6" s="128" t="s">
        <v>157</v>
      </c>
      <c r="E6" s="128" t="s">
        <v>2095</v>
      </c>
      <c r="F6" s="128">
        <v>54.0</v>
      </c>
      <c r="G6" s="128" t="s">
        <v>2423</v>
      </c>
      <c r="H6" s="197" t="s">
        <v>2727</v>
      </c>
      <c r="I6" s="197" t="s">
        <v>2469</v>
      </c>
      <c r="J6" s="197" t="s">
        <v>2736</v>
      </c>
      <c r="K6" s="197" t="s">
        <v>2737</v>
      </c>
      <c r="L6" s="197" t="s">
        <v>2457</v>
      </c>
      <c r="M6" s="197" t="s">
        <v>2738</v>
      </c>
      <c r="N6" s="128">
        <v>4.0</v>
      </c>
      <c r="O6" s="128" t="s">
        <v>71</v>
      </c>
    </row>
    <row r="7" ht="37.5" customHeight="1">
      <c r="A7" s="14"/>
      <c r="B7" s="128" t="s">
        <v>2739</v>
      </c>
      <c r="C7" s="128">
        <v>29.0</v>
      </c>
      <c r="D7" s="128" t="s">
        <v>94</v>
      </c>
      <c r="E7" s="128" t="s">
        <v>13</v>
      </c>
      <c r="F7" s="128">
        <v>60.0</v>
      </c>
      <c r="G7" s="128" t="s">
        <v>2423</v>
      </c>
      <c r="H7" s="197" t="s">
        <v>2727</v>
      </c>
      <c r="I7" s="197" t="s">
        <v>2440</v>
      </c>
      <c r="J7" s="197" t="s">
        <v>2740</v>
      </c>
      <c r="K7" s="197" t="s">
        <v>2741</v>
      </c>
      <c r="L7" s="197" t="s">
        <v>2467</v>
      </c>
      <c r="M7" s="197" t="s">
        <v>2742</v>
      </c>
      <c r="N7" s="128">
        <v>5.0</v>
      </c>
      <c r="O7" s="128" t="s">
        <v>92</v>
      </c>
    </row>
    <row r="8" ht="37.5" customHeight="1">
      <c r="A8" s="13"/>
      <c r="B8" s="128" t="s">
        <v>2743</v>
      </c>
      <c r="C8" s="128">
        <v>29.0</v>
      </c>
      <c r="D8" s="128" t="s">
        <v>73</v>
      </c>
      <c r="E8" s="128" t="s">
        <v>13</v>
      </c>
      <c r="F8" s="128">
        <v>50.0</v>
      </c>
      <c r="G8" s="128" t="s">
        <v>2423</v>
      </c>
      <c r="H8" s="197" t="s">
        <v>2727</v>
      </c>
      <c r="I8" s="197" t="s">
        <v>2440</v>
      </c>
      <c r="J8" s="197"/>
      <c r="K8" s="197"/>
      <c r="L8" s="197"/>
      <c r="M8" s="197"/>
      <c r="N8" s="128">
        <v>6.0</v>
      </c>
      <c r="O8" s="128" t="s">
        <v>92</v>
      </c>
    </row>
    <row r="9" ht="37.5" customHeight="1">
      <c r="A9" s="13"/>
      <c r="B9" s="128" t="s">
        <v>2744</v>
      </c>
      <c r="C9" s="128">
        <v>29.0</v>
      </c>
      <c r="D9" s="128" t="s">
        <v>73</v>
      </c>
      <c r="E9" s="128" t="s">
        <v>13</v>
      </c>
      <c r="F9" s="128">
        <v>50.0</v>
      </c>
      <c r="G9" s="128" t="s">
        <v>2423</v>
      </c>
      <c r="H9" s="197" t="s">
        <v>2727</v>
      </c>
      <c r="I9" s="197" t="s">
        <v>2440</v>
      </c>
      <c r="J9" s="197" t="s">
        <v>2745</v>
      </c>
      <c r="K9" s="197" t="s">
        <v>2746</v>
      </c>
      <c r="L9" s="197" t="s">
        <v>2444</v>
      </c>
      <c r="M9" s="197" t="s">
        <v>2747</v>
      </c>
      <c r="N9" s="128"/>
      <c r="O9" s="128"/>
    </row>
    <row r="10" ht="37.5" customHeight="1">
      <c r="A10" s="128"/>
      <c r="B10" s="128" t="s">
        <v>827</v>
      </c>
      <c r="C10" s="128">
        <v>29.0</v>
      </c>
      <c r="D10" s="128" t="s">
        <v>94</v>
      </c>
      <c r="E10" s="128" t="s">
        <v>13</v>
      </c>
      <c r="F10" s="128">
        <v>58.0</v>
      </c>
      <c r="G10" s="128" t="s">
        <v>2423</v>
      </c>
      <c r="H10" s="197" t="s">
        <v>2727</v>
      </c>
      <c r="I10" s="197" t="s">
        <v>2440</v>
      </c>
      <c r="J10" s="197" t="s">
        <v>1888</v>
      </c>
      <c r="K10" s="197" t="s">
        <v>2748</v>
      </c>
      <c r="L10" s="197" t="s">
        <v>2489</v>
      </c>
      <c r="M10" s="197" t="s">
        <v>2749</v>
      </c>
      <c r="N10" s="128">
        <v>7.0</v>
      </c>
      <c r="O10" s="128" t="s">
        <v>92</v>
      </c>
    </row>
    <row r="11" ht="37.5" customHeight="1">
      <c r="A11" s="13"/>
      <c r="B11" s="128" t="s">
        <v>590</v>
      </c>
      <c r="C11" s="128">
        <v>27.0</v>
      </c>
      <c r="D11" s="128" t="s">
        <v>89</v>
      </c>
      <c r="E11" s="128" t="s">
        <v>2126</v>
      </c>
      <c r="F11" s="128">
        <v>60.0</v>
      </c>
      <c r="G11" s="128" t="s">
        <v>2423</v>
      </c>
      <c r="H11" s="197" t="s">
        <v>2730</v>
      </c>
      <c r="I11" s="197" t="s">
        <v>2440</v>
      </c>
      <c r="J11" s="197" t="s">
        <v>1976</v>
      </c>
      <c r="K11" s="197" t="s">
        <v>1977</v>
      </c>
      <c r="L11" s="197" t="s">
        <v>1527</v>
      </c>
      <c r="M11" s="197" t="s">
        <v>2750</v>
      </c>
      <c r="N11" s="128">
        <v>8.0</v>
      </c>
      <c r="O11" s="128" t="s">
        <v>92</v>
      </c>
    </row>
    <row r="12" ht="37.5" customHeight="1">
      <c r="A12" s="13"/>
      <c r="B12" s="128" t="s">
        <v>2751</v>
      </c>
      <c r="C12" s="128">
        <v>29.0</v>
      </c>
      <c r="D12" s="128" t="s">
        <v>157</v>
      </c>
      <c r="E12" s="128" t="s">
        <v>13</v>
      </c>
      <c r="F12" s="128">
        <v>54.0</v>
      </c>
      <c r="G12" s="128" t="s">
        <v>2423</v>
      </c>
      <c r="H12" s="197" t="s">
        <v>2727</v>
      </c>
      <c r="I12" s="197" t="s">
        <v>2440</v>
      </c>
      <c r="J12" s="197" t="s">
        <v>2752</v>
      </c>
      <c r="K12" s="197" t="s">
        <v>2753</v>
      </c>
      <c r="L12" s="197" t="s">
        <v>2754</v>
      </c>
      <c r="M12" s="197" t="s">
        <v>2755</v>
      </c>
      <c r="N12" s="128">
        <v>9.0</v>
      </c>
      <c r="O12" s="128" t="s">
        <v>92</v>
      </c>
    </row>
    <row r="13" ht="37.5" customHeight="1">
      <c r="A13" s="13"/>
      <c r="B13" s="128" t="s">
        <v>2756</v>
      </c>
      <c r="C13" s="128">
        <v>29.0</v>
      </c>
      <c r="D13" s="128" t="s">
        <v>65</v>
      </c>
      <c r="E13" s="128" t="s">
        <v>17</v>
      </c>
      <c r="F13" s="128">
        <v>52.0</v>
      </c>
      <c r="G13" s="128" t="s">
        <v>2423</v>
      </c>
      <c r="H13" s="197" t="s">
        <v>2727</v>
      </c>
      <c r="I13" s="197" t="s">
        <v>2440</v>
      </c>
      <c r="J13" s="197" t="s">
        <v>2606</v>
      </c>
      <c r="K13" s="197" t="s">
        <v>322</v>
      </c>
      <c r="L13" s="197" t="s">
        <v>1077</v>
      </c>
      <c r="M13" s="197" t="s">
        <v>2757</v>
      </c>
      <c r="N13" s="128">
        <v>10.0</v>
      </c>
      <c r="O13" s="128" t="s">
        <v>92</v>
      </c>
    </row>
    <row r="14" ht="37.5" customHeight="1">
      <c r="A14" s="13"/>
      <c r="B14" s="128" t="s">
        <v>592</v>
      </c>
      <c r="C14" s="128">
        <v>27.0</v>
      </c>
      <c r="D14" s="128" t="s">
        <v>73</v>
      </c>
      <c r="E14" s="128" t="s">
        <v>30</v>
      </c>
      <c r="F14" s="128">
        <v>55.0</v>
      </c>
      <c r="G14" s="128" t="s">
        <v>2423</v>
      </c>
      <c r="H14" s="197" t="s">
        <v>2727</v>
      </c>
      <c r="I14" s="197" t="s">
        <v>2758</v>
      </c>
      <c r="J14" s="197" t="s">
        <v>2759</v>
      </c>
      <c r="K14" s="197" t="s">
        <v>2760</v>
      </c>
      <c r="L14" s="197" t="s">
        <v>2511</v>
      </c>
      <c r="M14" s="197" t="s">
        <v>2761</v>
      </c>
      <c r="N14" s="128">
        <v>11.0</v>
      </c>
      <c r="O14" s="128" t="s">
        <v>92</v>
      </c>
    </row>
    <row r="15" ht="37.5" customHeight="1">
      <c r="A15" s="128"/>
      <c r="B15" s="128" t="s">
        <v>433</v>
      </c>
      <c r="C15" s="128">
        <v>28.0</v>
      </c>
      <c r="D15" s="128" t="s">
        <v>83</v>
      </c>
      <c r="E15" s="128" t="s">
        <v>13</v>
      </c>
      <c r="F15" s="128">
        <v>51.0</v>
      </c>
      <c r="G15" s="128" t="s">
        <v>2423</v>
      </c>
      <c r="H15" s="197" t="s">
        <v>2727</v>
      </c>
      <c r="I15" s="197" t="s">
        <v>2762</v>
      </c>
      <c r="J15" s="197" t="s">
        <v>2763</v>
      </c>
      <c r="K15" s="197" t="s">
        <v>2764</v>
      </c>
      <c r="L15" s="197" t="s">
        <v>2489</v>
      </c>
      <c r="M15" s="197" t="s">
        <v>2765</v>
      </c>
      <c r="N15" s="128">
        <v>12.0</v>
      </c>
      <c r="O15" s="128" t="s">
        <v>92</v>
      </c>
    </row>
    <row r="16" ht="37.5" customHeight="1">
      <c r="A16" s="13"/>
      <c r="B16" s="128" t="s">
        <v>2766</v>
      </c>
      <c r="C16" s="128">
        <v>29.0</v>
      </c>
      <c r="D16" s="128" t="s">
        <v>89</v>
      </c>
      <c r="E16" s="128" t="s">
        <v>13</v>
      </c>
      <c r="F16" s="128">
        <v>58.0</v>
      </c>
      <c r="G16" s="128" t="s">
        <v>2423</v>
      </c>
      <c r="H16" s="197" t="s">
        <v>2727</v>
      </c>
      <c r="I16" s="197" t="s">
        <v>2440</v>
      </c>
      <c r="J16" s="197" t="s">
        <v>2767</v>
      </c>
      <c r="K16" s="197" t="s">
        <v>2768</v>
      </c>
      <c r="L16" s="197" t="s">
        <v>2457</v>
      </c>
      <c r="M16" s="197" t="s">
        <v>2769</v>
      </c>
      <c r="N16" s="128">
        <v>13.0</v>
      </c>
      <c r="O16" s="128" t="s">
        <v>92</v>
      </c>
    </row>
    <row r="17" ht="37.5" customHeight="1">
      <c r="A17" s="14"/>
      <c r="B17" s="128" t="s">
        <v>2770</v>
      </c>
      <c r="C17" s="128">
        <v>29.0</v>
      </c>
      <c r="D17" s="128" t="s">
        <v>89</v>
      </c>
      <c r="E17" s="128" t="s">
        <v>17</v>
      </c>
      <c r="F17" s="128">
        <v>48.0</v>
      </c>
      <c r="G17" s="128" t="s">
        <v>2423</v>
      </c>
      <c r="H17" s="197" t="s">
        <v>2727</v>
      </c>
      <c r="I17" s="197" t="s">
        <v>2440</v>
      </c>
      <c r="J17" s="197" t="s">
        <v>2771</v>
      </c>
      <c r="K17" s="197" t="s">
        <v>2772</v>
      </c>
      <c r="L17" s="197" t="s">
        <v>2457</v>
      </c>
      <c r="M17" s="197" t="s">
        <v>2773</v>
      </c>
      <c r="N17" s="128">
        <v>14.0</v>
      </c>
      <c r="O17" s="128" t="s">
        <v>92</v>
      </c>
    </row>
    <row r="18" ht="37.5" customHeight="1">
      <c r="A18" s="128"/>
      <c r="B18" s="128" t="s">
        <v>703</v>
      </c>
      <c r="C18" s="128">
        <v>29.0</v>
      </c>
      <c r="D18" s="128" t="s">
        <v>83</v>
      </c>
      <c r="E18" s="128" t="s">
        <v>30</v>
      </c>
      <c r="F18" s="128">
        <v>60.0</v>
      </c>
      <c r="G18" s="128" t="s">
        <v>2423</v>
      </c>
      <c r="H18" s="197" t="s">
        <v>2727</v>
      </c>
      <c r="I18" s="197" t="s">
        <v>2758</v>
      </c>
      <c r="J18" s="197" t="s">
        <v>2774</v>
      </c>
      <c r="K18" s="197" t="s">
        <v>2775</v>
      </c>
      <c r="L18" s="197" t="s">
        <v>714</v>
      </c>
      <c r="M18" s="197" t="s">
        <v>2776</v>
      </c>
      <c r="N18" s="128">
        <v>15.0</v>
      </c>
      <c r="O18" s="128" t="s">
        <v>92</v>
      </c>
    </row>
    <row r="19" ht="37.5" customHeight="1">
      <c r="A19" s="13"/>
      <c r="B19" s="128" t="s">
        <v>2014</v>
      </c>
      <c r="C19" s="128">
        <v>29.0</v>
      </c>
      <c r="D19" s="128" t="s">
        <v>89</v>
      </c>
      <c r="E19" s="128" t="s">
        <v>13</v>
      </c>
      <c r="F19" s="128">
        <v>60.0</v>
      </c>
      <c r="G19" s="128" t="s">
        <v>2423</v>
      </c>
      <c r="H19" s="197" t="s">
        <v>2727</v>
      </c>
      <c r="I19" s="197" t="s">
        <v>2440</v>
      </c>
      <c r="J19" s="197" t="s">
        <v>2777</v>
      </c>
      <c r="K19" s="197" t="s">
        <v>2778</v>
      </c>
      <c r="L19" s="197" t="s">
        <v>2779</v>
      </c>
      <c r="M19" s="197" t="s">
        <v>2780</v>
      </c>
      <c r="N19" s="128">
        <v>16.0</v>
      </c>
      <c r="O19" s="128" t="s">
        <v>92</v>
      </c>
    </row>
    <row r="20" ht="37.5" customHeight="1">
      <c r="A20" s="13"/>
      <c r="B20" s="128" t="s">
        <v>594</v>
      </c>
      <c r="C20" s="128">
        <v>27.0</v>
      </c>
      <c r="D20" s="128" t="s">
        <v>157</v>
      </c>
      <c r="E20" s="128" t="s">
        <v>17</v>
      </c>
      <c r="F20" s="128">
        <v>55.0</v>
      </c>
      <c r="G20" s="128" t="s">
        <v>2423</v>
      </c>
      <c r="H20" s="197" t="s">
        <v>2727</v>
      </c>
      <c r="I20" s="197" t="s">
        <v>2440</v>
      </c>
      <c r="J20" s="197" t="s">
        <v>986</v>
      </c>
      <c r="K20" s="197" t="s">
        <v>2781</v>
      </c>
      <c r="L20" s="197" t="s">
        <v>75</v>
      </c>
      <c r="M20" s="197" t="s">
        <v>2782</v>
      </c>
      <c r="N20" s="128">
        <v>17.0</v>
      </c>
      <c r="O20" s="128" t="s">
        <v>92</v>
      </c>
    </row>
    <row r="21" ht="37.5" customHeight="1">
      <c r="A21" s="13"/>
      <c r="B21" s="128" t="s">
        <v>2783</v>
      </c>
      <c r="C21" s="128">
        <v>29.0</v>
      </c>
      <c r="D21" s="128" t="s">
        <v>94</v>
      </c>
      <c r="E21" s="128" t="s">
        <v>13</v>
      </c>
      <c r="F21" s="128">
        <v>57.0</v>
      </c>
      <c r="G21" s="128" t="s">
        <v>2423</v>
      </c>
      <c r="H21" s="197" t="s">
        <v>2727</v>
      </c>
      <c r="I21" s="197" t="s">
        <v>2440</v>
      </c>
      <c r="J21" s="197" t="s">
        <v>2784</v>
      </c>
      <c r="K21" s="197" t="s">
        <v>2785</v>
      </c>
      <c r="L21" s="197" t="s">
        <v>1212</v>
      </c>
      <c r="M21" s="197" t="s">
        <v>2786</v>
      </c>
      <c r="N21" s="128">
        <v>18.0</v>
      </c>
      <c r="O21" s="128" t="s">
        <v>92</v>
      </c>
    </row>
    <row r="22" ht="37.5" customHeight="1">
      <c r="A22" s="128"/>
      <c r="B22" s="128" t="s">
        <v>2787</v>
      </c>
      <c r="C22" s="128">
        <v>28.0</v>
      </c>
      <c r="D22" s="128" t="s">
        <v>157</v>
      </c>
      <c r="E22" s="128" t="s">
        <v>2126</v>
      </c>
      <c r="F22" s="128">
        <v>56.0</v>
      </c>
      <c r="G22" s="128" t="s">
        <v>2423</v>
      </c>
      <c r="H22" s="197" t="s">
        <v>2730</v>
      </c>
      <c r="I22" s="197" t="s">
        <v>2440</v>
      </c>
      <c r="J22" s="197" t="s">
        <v>2788</v>
      </c>
      <c r="K22" s="197" t="s">
        <v>2789</v>
      </c>
      <c r="L22" s="197" t="s">
        <v>1527</v>
      </c>
      <c r="M22" s="197" t="s">
        <v>2790</v>
      </c>
      <c r="N22" s="128">
        <v>19.0</v>
      </c>
      <c r="O22" s="128" t="s">
        <v>92</v>
      </c>
    </row>
    <row r="23" ht="37.5" customHeight="1">
      <c r="A23" s="128"/>
      <c r="B23" s="128" t="s">
        <v>457</v>
      </c>
      <c r="C23" s="128">
        <v>28.0</v>
      </c>
      <c r="D23" s="128" t="s">
        <v>65</v>
      </c>
      <c r="E23" s="128" t="s">
        <v>2126</v>
      </c>
      <c r="F23" s="128">
        <v>52.0</v>
      </c>
      <c r="G23" s="128" t="s">
        <v>2423</v>
      </c>
      <c r="H23" s="197" t="s">
        <v>2730</v>
      </c>
      <c r="I23" s="197" t="s">
        <v>2440</v>
      </c>
      <c r="J23" s="197" t="s">
        <v>2791</v>
      </c>
      <c r="K23" s="197" t="s">
        <v>2792</v>
      </c>
      <c r="L23" s="197" t="s">
        <v>2457</v>
      </c>
      <c r="M23" s="197" t="s">
        <v>2793</v>
      </c>
      <c r="N23" s="128">
        <v>20.0</v>
      </c>
      <c r="O23" s="128" t="s">
        <v>92</v>
      </c>
    </row>
    <row r="24" ht="37.5" customHeight="1">
      <c r="A24" s="13"/>
      <c r="B24" s="128" t="s">
        <v>459</v>
      </c>
      <c r="C24" s="128">
        <v>27.0</v>
      </c>
      <c r="D24" s="128" t="s">
        <v>73</v>
      </c>
      <c r="E24" s="128" t="s">
        <v>2126</v>
      </c>
      <c r="F24" s="128">
        <v>56.0</v>
      </c>
      <c r="G24" s="128" t="s">
        <v>2423</v>
      </c>
      <c r="H24" s="197" t="s">
        <v>2727</v>
      </c>
      <c r="I24" s="197" t="s">
        <v>2440</v>
      </c>
      <c r="J24" s="197" t="s">
        <v>2794</v>
      </c>
      <c r="K24" s="197" t="s">
        <v>2795</v>
      </c>
      <c r="L24" s="197" t="s">
        <v>2692</v>
      </c>
      <c r="M24" s="197" t="s">
        <v>2796</v>
      </c>
      <c r="N24" s="128">
        <v>21.0</v>
      </c>
      <c r="O24" s="128" t="s">
        <v>92</v>
      </c>
    </row>
    <row r="25" ht="37.5" customHeight="1">
      <c r="A25" s="13"/>
      <c r="B25" s="128" t="s">
        <v>2797</v>
      </c>
      <c r="C25" s="128">
        <v>29.0</v>
      </c>
      <c r="D25" s="128" t="s">
        <v>73</v>
      </c>
      <c r="E25" s="128" t="s">
        <v>17</v>
      </c>
      <c r="F25" s="128">
        <v>60.0</v>
      </c>
      <c r="G25" s="128" t="s">
        <v>2423</v>
      </c>
      <c r="H25" s="197" t="s">
        <v>2727</v>
      </c>
      <c r="I25" s="197" t="s">
        <v>2440</v>
      </c>
      <c r="J25" s="197" t="s">
        <v>2798</v>
      </c>
      <c r="K25" s="197" t="s">
        <v>2799</v>
      </c>
      <c r="L25" s="197" t="s">
        <v>2779</v>
      </c>
      <c r="M25" s="197" t="s">
        <v>2800</v>
      </c>
      <c r="N25" s="128">
        <v>22.0</v>
      </c>
      <c r="O25" s="128" t="s">
        <v>92</v>
      </c>
    </row>
    <row r="26" ht="37.5" customHeight="1">
      <c r="A26" s="13"/>
      <c r="B26" s="128" t="s">
        <v>2801</v>
      </c>
      <c r="C26" s="128">
        <v>29.0</v>
      </c>
      <c r="D26" s="128" t="s">
        <v>73</v>
      </c>
      <c r="E26" s="128" t="s">
        <v>13</v>
      </c>
      <c r="F26" s="128">
        <v>54.0</v>
      </c>
      <c r="G26" s="128" t="s">
        <v>2423</v>
      </c>
      <c r="H26" s="197" t="s">
        <v>2727</v>
      </c>
      <c r="I26" s="197" t="s">
        <v>2440</v>
      </c>
      <c r="J26" s="197" t="s">
        <v>2802</v>
      </c>
      <c r="K26" s="197" t="s">
        <v>2803</v>
      </c>
      <c r="L26" s="197" t="s">
        <v>307</v>
      </c>
      <c r="M26" s="197" t="s">
        <v>2804</v>
      </c>
      <c r="N26" s="128">
        <v>23.0</v>
      </c>
      <c r="O26" s="128" t="s">
        <v>92</v>
      </c>
    </row>
    <row r="27" ht="37.5" customHeight="1">
      <c r="A27" s="13"/>
      <c r="B27" s="128" t="s">
        <v>2805</v>
      </c>
      <c r="C27" s="128">
        <v>29.0</v>
      </c>
      <c r="D27" s="128" t="s">
        <v>73</v>
      </c>
      <c r="E27" s="128" t="s">
        <v>17</v>
      </c>
      <c r="F27" s="128">
        <v>60.0</v>
      </c>
      <c r="G27" s="128" t="s">
        <v>2423</v>
      </c>
      <c r="H27" s="197" t="s">
        <v>2727</v>
      </c>
      <c r="I27" s="197" t="s">
        <v>2440</v>
      </c>
      <c r="J27" s="197" t="s">
        <v>1649</v>
      </c>
      <c r="K27" s="197" t="s">
        <v>2806</v>
      </c>
      <c r="L27" s="197" t="s">
        <v>425</v>
      </c>
      <c r="M27" s="197" t="s">
        <v>2807</v>
      </c>
      <c r="N27" s="128">
        <v>24.0</v>
      </c>
      <c r="O27" s="128" t="s">
        <v>92</v>
      </c>
    </row>
    <row r="28" ht="37.5" customHeight="1">
      <c r="A28" s="13"/>
      <c r="B28" s="128" t="s">
        <v>2808</v>
      </c>
      <c r="C28" s="128">
        <v>29.0</v>
      </c>
      <c r="D28" s="128" t="s">
        <v>157</v>
      </c>
      <c r="E28" s="128" t="s">
        <v>17</v>
      </c>
      <c r="F28" s="128">
        <v>52.0</v>
      </c>
      <c r="G28" s="128" t="s">
        <v>2423</v>
      </c>
      <c r="H28" s="197" t="s">
        <v>2727</v>
      </c>
      <c r="I28" s="197" t="s">
        <v>2762</v>
      </c>
      <c r="J28" s="197" t="s">
        <v>2809</v>
      </c>
      <c r="K28" s="197" t="s">
        <v>2810</v>
      </c>
      <c r="L28" s="197" t="s">
        <v>2524</v>
      </c>
      <c r="M28" s="197" t="s">
        <v>2811</v>
      </c>
      <c r="N28" s="128">
        <v>25.0</v>
      </c>
      <c r="O28" s="128" t="s">
        <v>92</v>
      </c>
    </row>
    <row r="29" ht="37.5" customHeight="1">
      <c r="A29" s="13"/>
      <c r="B29" s="128" t="s">
        <v>2812</v>
      </c>
      <c r="C29" s="128">
        <v>29.0</v>
      </c>
      <c r="D29" s="128" t="s">
        <v>65</v>
      </c>
      <c r="E29" s="128" t="s">
        <v>13</v>
      </c>
      <c r="F29" s="128">
        <v>51.0</v>
      </c>
      <c r="G29" s="128" t="s">
        <v>2423</v>
      </c>
      <c r="H29" s="197" t="s">
        <v>2727</v>
      </c>
      <c r="I29" s="197" t="s">
        <v>2440</v>
      </c>
      <c r="J29" s="197" t="s">
        <v>2813</v>
      </c>
      <c r="K29" s="197" t="s">
        <v>2814</v>
      </c>
      <c r="L29" s="197" t="s">
        <v>1536</v>
      </c>
      <c r="M29" s="197" t="s">
        <v>2815</v>
      </c>
      <c r="N29" s="128">
        <v>26.0</v>
      </c>
      <c r="O29" s="128" t="s">
        <v>92</v>
      </c>
    </row>
    <row r="30" ht="37.5" customHeight="1">
      <c r="A30" s="128"/>
      <c r="B30" s="128" t="s">
        <v>839</v>
      </c>
      <c r="C30" s="128">
        <v>29.0</v>
      </c>
      <c r="D30" s="128" t="s">
        <v>89</v>
      </c>
      <c r="E30" s="128" t="s">
        <v>13</v>
      </c>
      <c r="F30" s="128">
        <v>53.0</v>
      </c>
      <c r="G30" s="128" t="s">
        <v>2423</v>
      </c>
      <c r="H30" s="197" t="s">
        <v>2727</v>
      </c>
      <c r="I30" s="197" t="s">
        <v>2440</v>
      </c>
      <c r="J30" s="197" t="s">
        <v>2816</v>
      </c>
      <c r="K30" s="197" t="s">
        <v>2817</v>
      </c>
      <c r="L30" s="197" t="s">
        <v>718</v>
      </c>
      <c r="M30" s="197" t="s">
        <v>2818</v>
      </c>
      <c r="N30" s="128">
        <v>27.0</v>
      </c>
      <c r="O30" s="128" t="s">
        <v>92</v>
      </c>
    </row>
    <row r="31" ht="37.5" customHeight="1">
      <c r="A31" s="13"/>
      <c r="B31" s="128" t="s">
        <v>1266</v>
      </c>
      <c r="C31" s="128">
        <v>29.0</v>
      </c>
      <c r="D31" s="128" t="s">
        <v>94</v>
      </c>
      <c r="E31" s="128" t="s">
        <v>30</v>
      </c>
      <c r="F31" s="128">
        <v>50.0</v>
      </c>
      <c r="G31" s="128" t="s">
        <v>2423</v>
      </c>
      <c r="H31" s="197" t="s">
        <v>2727</v>
      </c>
      <c r="I31" s="197" t="s">
        <v>2440</v>
      </c>
      <c r="J31" s="197" t="s">
        <v>2819</v>
      </c>
      <c r="K31" s="197" t="s">
        <v>2820</v>
      </c>
      <c r="L31" s="197" t="s">
        <v>1073</v>
      </c>
      <c r="M31" s="197" t="s">
        <v>2821</v>
      </c>
      <c r="N31" s="128">
        <v>28.0</v>
      </c>
      <c r="O31" s="128" t="s">
        <v>92</v>
      </c>
    </row>
    <row r="32" ht="37.5" customHeight="1">
      <c r="A32" s="13"/>
      <c r="B32" s="128" t="s">
        <v>2822</v>
      </c>
      <c r="C32" s="128">
        <v>29.0</v>
      </c>
      <c r="D32" s="128" t="s">
        <v>89</v>
      </c>
      <c r="E32" s="128" t="s">
        <v>17</v>
      </c>
      <c r="F32" s="128">
        <v>52.0</v>
      </c>
      <c r="G32" s="128" t="s">
        <v>2423</v>
      </c>
      <c r="H32" s="197" t="s">
        <v>2727</v>
      </c>
      <c r="I32" s="197" t="s">
        <v>2440</v>
      </c>
      <c r="J32" s="197" t="s">
        <v>2823</v>
      </c>
      <c r="K32" s="197" t="s">
        <v>2824</v>
      </c>
      <c r="L32" s="197" t="s">
        <v>2508</v>
      </c>
      <c r="M32" s="197" t="s">
        <v>2825</v>
      </c>
      <c r="N32" s="128">
        <v>29.0</v>
      </c>
      <c r="O32" s="128" t="s">
        <v>120</v>
      </c>
    </row>
    <row r="33" ht="37.5" customHeight="1">
      <c r="A33" s="128"/>
      <c r="B33" s="128" t="s">
        <v>1264</v>
      </c>
      <c r="C33" s="128">
        <v>29.0</v>
      </c>
      <c r="D33" s="128" t="s">
        <v>65</v>
      </c>
      <c r="E33" s="128" t="s">
        <v>30</v>
      </c>
      <c r="F33" s="128">
        <v>55.0</v>
      </c>
      <c r="G33" s="128" t="s">
        <v>2423</v>
      </c>
      <c r="H33" s="197" t="s">
        <v>2727</v>
      </c>
      <c r="I33" s="197" t="s">
        <v>2758</v>
      </c>
      <c r="J33" s="197" t="s">
        <v>2826</v>
      </c>
      <c r="K33" s="197" t="s">
        <v>2827</v>
      </c>
      <c r="L33" s="197" t="s">
        <v>2489</v>
      </c>
      <c r="M33" s="197" t="s">
        <v>2828</v>
      </c>
      <c r="N33" s="128">
        <v>30.0</v>
      </c>
      <c r="O33" s="128" t="s">
        <v>120</v>
      </c>
    </row>
    <row r="34" ht="37.5" customHeight="1">
      <c r="A34" s="13"/>
      <c r="B34" s="128" t="s">
        <v>2829</v>
      </c>
      <c r="C34" s="128">
        <v>29.0</v>
      </c>
      <c r="D34" s="128" t="s">
        <v>157</v>
      </c>
      <c r="E34" s="128" t="s">
        <v>16</v>
      </c>
      <c r="F34" s="128">
        <v>48.0</v>
      </c>
      <c r="G34" s="128" t="s">
        <v>2423</v>
      </c>
      <c r="H34" s="197" t="s">
        <v>2727</v>
      </c>
      <c r="I34" s="197" t="s">
        <v>2440</v>
      </c>
      <c r="J34" s="197" t="s">
        <v>2809</v>
      </c>
      <c r="K34" s="197" t="s">
        <v>2810</v>
      </c>
      <c r="L34" s="197" t="s">
        <v>2533</v>
      </c>
      <c r="M34" s="197" t="s">
        <v>2830</v>
      </c>
      <c r="N34" s="128">
        <v>31.0</v>
      </c>
      <c r="O34" s="128" t="s">
        <v>120</v>
      </c>
    </row>
    <row r="35" ht="37.5" customHeight="1">
      <c r="A35" s="13"/>
      <c r="B35" s="128" t="s">
        <v>2831</v>
      </c>
      <c r="C35" s="128">
        <v>29.0</v>
      </c>
      <c r="D35" s="128" t="s">
        <v>157</v>
      </c>
      <c r="E35" s="128" t="s">
        <v>30</v>
      </c>
      <c r="F35" s="128">
        <v>49.0</v>
      </c>
      <c r="G35" s="128" t="s">
        <v>2423</v>
      </c>
      <c r="H35" s="197" t="s">
        <v>2727</v>
      </c>
      <c r="I35" s="197" t="s">
        <v>2440</v>
      </c>
      <c r="J35" s="197" t="s">
        <v>2659</v>
      </c>
      <c r="K35" s="197" t="s">
        <v>2832</v>
      </c>
      <c r="L35" s="197" t="s">
        <v>1539</v>
      </c>
      <c r="M35" s="197" t="s">
        <v>2833</v>
      </c>
      <c r="N35" s="128">
        <v>32.0</v>
      </c>
      <c r="O35" s="128" t="s">
        <v>120</v>
      </c>
    </row>
    <row r="36" ht="37.5" customHeight="1">
      <c r="A36" s="13"/>
      <c r="B36" s="128" t="s">
        <v>1408</v>
      </c>
      <c r="C36" s="128">
        <v>29.0</v>
      </c>
      <c r="D36" s="128" t="s">
        <v>89</v>
      </c>
      <c r="E36" s="128" t="s">
        <v>30</v>
      </c>
      <c r="F36" s="128">
        <v>52.0</v>
      </c>
      <c r="G36" s="128" t="s">
        <v>2423</v>
      </c>
      <c r="H36" s="197" t="s">
        <v>2727</v>
      </c>
      <c r="I36" s="197" t="s">
        <v>2758</v>
      </c>
      <c r="J36" s="197" t="s">
        <v>2834</v>
      </c>
      <c r="K36" s="197" t="s">
        <v>2835</v>
      </c>
      <c r="L36" s="197" t="s">
        <v>2836</v>
      </c>
      <c r="M36" s="197" t="s">
        <v>2837</v>
      </c>
      <c r="N36" s="128">
        <v>33.0</v>
      </c>
      <c r="O36" s="128" t="s">
        <v>120</v>
      </c>
    </row>
    <row r="37" ht="37.5" customHeight="1">
      <c r="A37" s="13"/>
      <c r="B37" s="128" t="s">
        <v>2838</v>
      </c>
      <c r="C37" s="128">
        <v>29.0</v>
      </c>
      <c r="D37" s="128" t="s">
        <v>89</v>
      </c>
      <c r="E37" s="128" t="s">
        <v>16</v>
      </c>
      <c r="F37" s="128">
        <v>60.0</v>
      </c>
      <c r="G37" s="128" t="s">
        <v>2423</v>
      </c>
      <c r="H37" s="197" t="s">
        <v>2727</v>
      </c>
      <c r="I37" s="197" t="s">
        <v>2440</v>
      </c>
      <c r="J37" s="197" t="s">
        <v>2839</v>
      </c>
      <c r="K37" s="197" t="s">
        <v>2840</v>
      </c>
      <c r="L37" s="197" t="s">
        <v>1087</v>
      </c>
      <c r="M37" s="197" t="s">
        <v>2841</v>
      </c>
      <c r="N37" s="128">
        <v>34.0</v>
      </c>
      <c r="O37" s="128" t="s">
        <v>120</v>
      </c>
    </row>
    <row r="38" ht="37.5" customHeight="1">
      <c r="A38" s="13"/>
      <c r="B38" s="128" t="s">
        <v>2058</v>
      </c>
      <c r="C38" s="128">
        <v>29.0</v>
      </c>
      <c r="D38" s="128" t="s">
        <v>73</v>
      </c>
      <c r="E38" s="128" t="s">
        <v>16</v>
      </c>
      <c r="F38" s="128">
        <v>55.0</v>
      </c>
      <c r="G38" s="128" t="s">
        <v>2423</v>
      </c>
      <c r="H38" s="197" t="s">
        <v>2727</v>
      </c>
      <c r="I38" s="197" t="s">
        <v>2440</v>
      </c>
      <c r="J38" s="197" t="s">
        <v>2798</v>
      </c>
      <c r="K38" s="197" t="s">
        <v>2842</v>
      </c>
      <c r="L38" s="197" t="s">
        <v>2489</v>
      </c>
      <c r="M38" s="197" t="s">
        <v>2843</v>
      </c>
      <c r="N38" s="128">
        <v>35.0</v>
      </c>
      <c r="O38" s="128" t="s">
        <v>136</v>
      </c>
    </row>
    <row r="39" ht="37.5" customHeight="1">
      <c r="A39" s="13"/>
      <c r="B39" s="128" t="s">
        <v>2844</v>
      </c>
      <c r="C39" s="128">
        <v>29.0</v>
      </c>
      <c r="D39" s="128" t="s">
        <v>157</v>
      </c>
      <c r="E39" s="128" t="s">
        <v>13</v>
      </c>
      <c r="F39" s="128">
        <v>57.0</v>
      </c>
      <c r="G39" s="128" t="s">
        <v>2423</v>
      </c>
      <c r="H39" s="197" t="s">
        <v>2727</v>
      </c>
      <c r="I39" s="197" t="s">
        <v>2440</v>
      </c>
      <c r="J39" s="197" t="s">
        <v>2845</v>
      </c>
      <c r="K39" s="197" t="s">
        <v>2846</v>
      </c>
      <c r="L39" s="197" t="s">
        <v>425</v>
      </c>
      <c r="M39" s="197" t="s">
        <v>2847</v>
      </c>
      <c r="N39" s="128">
        <v>36.0</v>
      </c>
      <c r="O39" s="128" t="s">
        <v>136</v>
      </c>
    </row>
    <row r="40" ht="37.5" customHeight="1">
      <c r="A40" s="13"/>
      <c r="B40" s="128" t="s">
        <v>2015</v>
      </c>
      <c r="C40" s="128">
        <v>29.0</v>
      </c>
      <c r="D40" s="128" t="s">
        <v>89</v>
      </c>
      <c r="E40" s="128" t="s">
        <v>24</v>
      </c>
      <c r="F40" s="128">
        <v>58.0</v>
      </c>
      <c r="G40" s="128" t="s">
        <v>2423</v>
      </c>
      <c r="H40" s="197" t="s">
        <v>2727</v>
      </c>
      <c r="I40" s="197" t="s">
        <v>2440</v>
      </c>
      <c r="J40" s="197" t="s">
        <v>1649</v>
      </c>
      <c r="K40" s="197" t="s">
        <v>968</v>
      </c>
      <c r="L40" s="197" t="s">
        <v>75</v>
      </c>
      <c r="M40" s="197" t="s">
        <v>2848</v>
      </c>
      <c r="N40" s="128">
        <v>37.0</v>
      </c>
      <c r="O40" s="128" t="s">
        <v>136</v>
      </c>
    </row>
    <row r="41" ht="37.5" customHeight="1">
      <c r="A41" s="128"/>
      <c r="B41" s="128" t="s">
        <v>465</v>
      </c>
      <c r="C41" s="128">
        <v>28.0</v>
      </c>
      <c r="D41" s="128" t="s">
        <v>94</v>
      </c>
      <c r="E41" s="128" t="s">
        <v>16</v>
      </c>
      <c r="F41" s="128">
        <v>52.0</v>
      </c>
      <c r="G41" s="128" t="s">
        <v>2423</v>
      </c>
      <c r="H41" s="197" t="s">
        <v>2727</v>
      </c>
      <c r="I41" s="197" t="s">
        <v>2440</v>
      </c>
      <c r="J41" s="197" t="s">
        <v>900</v>
      </c>
      <c r="K41" s="197" t="s">
        <v>730</v>
      </c>
      <c r="L41" s="197" t="s">
        <v>2457</v>
      </c>
      <c r="M41" s="197" t="s">
        <v>2849</v>
      </c>
      <c r="N41" s="128">
        <v>38.0</v>
      </c>
      <c r="O41" s="128" t="s">
        <v>136</v>
      </c>
    </row>
    <row r="42" ht="37.5" customHeight="1">
      <c r="A42" s="13"/>
      <c r="B42" s="128" t="s">
        <v>2850</v>
      </c>
      <c r="C42" s="128">
        <v>29.0</v>
      </c>
      <c r="D42" s="128" t="s">
        <v>89</v>
      </c>
      <c r="E42" s="128" t="s">
        <v>16</v>
      </c>
      <c r="F42" s="128">
        <v>56.0</v>
      </c>
      <c r="G42" s="128" t="s">
        <v>2423</v>
      </c>
      <c r="H42" s="197" t="s">
        <v>2727</v>
      </c>
      <c r="I42" s="197" t="s">
        <v>2440</v>
      </c>
      <c r="J42" s="197" t="s">
        <v>1649</v>
      </c>
      <c r="K42" s="197" t="s">
        <v>2851</v>
      </c>
      <c r="L42" s="197" t="s">
        <v>895</v>
      </c>
      <c r="M42" s="197" t="s">
        <v>2852</v>
      </c>
      <c r="N42" s="128">
        <v>39.0</v>
      </c>
      <c r="O42" s="128" t="s">
        <v>136</v>
      </c>
    </row>
    <row r="43" ht="37.5" customHeight="1">
      <c r="A43" s="13"/>
      <c r="B43" s="128" t="s">
        <v>2853</v>
      </c>
      <c r="C43" s="128">
        <v>29.0</v>
      </c>
      <c r="D43" s="128" t="s">
        <v>83</v>
      </c>
      <c r="E43" s="128" t="s">
        <v>13</v>
      </c>
      <c r="F43" s="128">
        <v>50.0</v>
      </c>
      <c r="G43" s="128" t="s">
        <v>2423</v>
      </c>
      <c r="H43" s="197" t="s">
        <v>2727</v>
      </c>
      <c r="I43" s="197" t="s">
        <v>2440</v>
      </c>
      <c r="J43" s="197" t="s">
        <v>2854</v>
      </c>
      <c r="K43" s="197" t="s">
        <v>2855</v>
      </c>
      <c r="L43" s="197" t="s">
        <v>2457</v>
      </c>
      <c r="M43" s="197" t="s">
        <v>2856</v>
      </c>
      <c r="N43" s="128">
        <v>40.0</v>
      </c>
      <c r="O43" s="128" t="s">
        <v>136</v>
      </c>
    </row>
    <row r="44" ht="37.5" customHeight="1">
      <c r="A44" s="13"/>
      <c r="B44" s="128" t="s">
        <v>2857</v>
      </c>
      <c r="C44" s="128">
        <v>25.0</v>
      </c>
      <c r="D44" s="128" t="s">
        <v>157</v>
      </c>
      <c r="E44" s="128" t="s">
        <v>16</v>
      </c>
      <c r="F44" s="128">
        <v>54.0</v>
      </c>
      <c r="G44" s="128" t="s">
        <v>2423</v>
      </c>
      <c r="H44" s="197" t="s">
        <v>2727</v>
      </c>
      <c r="I44" s="197" t="s">
        <v>2440</v>
      </c>
      <c r="J44" s="197" t="s">
        <v>2858</v>
      </c>
      <c r="K44" s="197" t="s">
        <v>2859</v>
      </c>
      <c r="L44" s="197" t="s">
        <v>1067</v>
      </c>
      <c r="M44" s="197" t="s">
        <v>2860</v>
      </c>
      <c r="N44" s="128">
        <v>41.0</v>
      </c>
      <c r="O44" s="128" t="s">
        <v>136</v>
      </c>
    </row>
    <row r="45" ht="37.5" customHeight="1">
      <c r="A45" s="14"/>
      <c r="B45" s="128" t="s">
        <v>2861</v>
      </c>
      <c r="C45" s="128">
        <v>29.0</v>
      </c>
      <c r="D45" s="128" t="s">
        <v>157</v>
      </c>
      <c r="E45" s="128" t="s">
        <v>16</v>
      </c>
      <c r="F45" s="128">
        <v>51.0</v>
      </c>
      <c r="G45" s="128" t="s">
        <v>2423</v>
      </c>
      <c r="H45" s="197" t="s">
        <v>2727</v>
      </c>
      <c r="I45" s="197" t="s">
        <v>2440</v>
      </c>
      <c r="J45" s="197" t="s">
        <v>1024</v>
      </c>
      <c r="K45" s="197" t="s">
        <v>986</v>
      </c>
      <c r="L45" s="197" t="s">
        <v>1070</v>
      </c>
      <c r="M45" s="197" t="s">
        <v>2862</v>
      </c>
      <c r="N45" s="128">
        <v>42.0</v>
      </c>
      <c r="O45" s="128" t="s">
        <v>136</v>
      </c>
    </row>
    <row r="46" ht="37.5" customHeight="1">
      <c r="A46" s="13"/>
      <c r="B46" s="128" t="s">
        <v>2863</v>
      </c>
      <c r="C46" s="128">
        <v>29.0</v>
      </c>
      <c r="D46" s="128" t="s">
        <v>65</v>
      </c>
      <c r="E46" s="128" t="s">
        <v>13</v>
      </c>
      <c r="F46" s="128">
        <v>46.0</v>
      </c>
      <c r="G46" s="128" t="s">
        <v>2423</v>
      </c>
      <c r="H46" s="197" t="s">
        <v>2727</v>
      </c>
      <c r="I46" s="197" t="s">
        <v>2440</v>
      </c>
      <c r="J46" s="197" t="s">
        <v>2864</v>
      </c>
      <c r="K46" s="197" t="s">
        <v>2865</v>
      </c>
      <c r="L46" s="197" t="s">
        <v>422</v>
      </c>
      <c r="M46" s="197" t="s">
        <v>2866</v>
      </c>
      <c r="N46" s="128">
        <v>43.0</v>
      </c>
      <c r="O46" s="128" t="s">
        <v>136</v>
      </c>
    </row>
    <row r="47" ht="37.5" customHeight="1">
      <c r="A47" s="13"/>
      <c r="B47" s="128" t="s">
        <v>2867</v>
      </c>
      <c r="C47" s="128">
        <v>29.0</v>
      </c>
      <c r="D47" s="128" t="s">
        <v>83</v>
      </c>
      <c r="E47" s="128" t="s">
        <v>16</v>
      </c>
      <c r="F47" s="128">
        <v>52.0</v>
      </c>
      <c r="G47" s="128" t="s">
        <v>2423</v>
      </c>
      <c r="H47" s="197" t="s">
        <v>2727</v>
      </c>
      <c r="I47" s="197" t="s">
        <v>2440</v>
      </c>
      <c r="J47" s="197" t="s">
        <v>732</v>
      </c>
      <c r="K47" s="197" t="s">
        <v>2639</v>
      </c>
      <c r="L47" s="197" t="s">
        <v>307</v>
      </c>
      <c r="M47" s="197" t="s">
        <v>2868</v>
      </c>
      <c r="N47" s="128">
        <v>44.0</v>
      </c>
      <c r="O47" s="128" t="s">
        <v>136</v>
      </c>
    </row>
    <row r="48" ht="37.5" customHeight="1">
      <c r="A48" s="14"/>
      <c r="B48" s="128" t="s">
        <v>2869</v>
      </c>
      <c r="C48" s="128">
        <v>29.0</v>
      </c>
      <c r="D48" s="128" t="s">
        <v>83</v>
      </c>
      <c r="E48" s="128" t="s">
        <v>16</v>
      </c>
      <c r="F48" s="128">
        <v>54.0</v>
      </c>
      <c r="G48" s="128" t="s">
        <v>2423</v>
      </c>
      <c r="H48" s="197" t="s">
        <v>2727</v>
      </c>
      <c r="I48" s="197" t="s">
        <v>2440</v>
      </c>
      <c r="J48" s="197" t="s">
        <v>968</v>
      </c>
      <c r="K48" s="197" t="s">
        <v>2870</v>
      </c>
      <c r="L48" s="197" t="s">
        <v>1087</v>
      </c>
      <c r="M48" s="197" t="s">
        <v>2871</v>
      </c>
      <c r="N48" s="128">
        <v>45.0</v>
      </c>
      <c r="O48" s="128" t="s">
        <v>136</v>
      </c>
    </row>
    <row r="49" ht="37.5" customHeight="1">
      <c r="A49" s="128"/>
      <c r="B49" s="128" t="s">
        <v>817</v>
      </c>
      <c r="C49" s="128">
        <v>29.0</v>
      </c>
      <c r="D49" s="128" t="s">
        <v>65</v>
      </c>
      <c r="E49" s="128" t="s">
        <v>13</v>
      </c>
      <c r="F49" s="128">
        <v>50.0</v>
      </c>
      <c r="G49" s="128" t="s">
        <v>2423</v>
      </c>
      <c r="H49" s="197" t="s">
        <v>2727</v>
      </c>
      <c r="I49" s="197" t="s">
        <v>2440</v>
      </c>
      <c r="J49" s="197" t="s">
        <v>2872</v>
      </c>
      <c r="K49" s="197" t="s">
        <v>2873</v>
      </c>
      <c r="L49" s="197" t="s">
        <v>1087</v>
      </c>
      <c r="M49" s="197" t="s">
        <v>2874</v>
      </c>
      <c r="N49" s="128">
        <v>46.0</v>
      </c>
      <c r="O49" s="128" t="s">
        <v>136</v>
      </c>
    </row>
    <row r="50" ht="37.5" customHeight="1">
      <c r="A50" s="13"/>
      <c r="B50" s="128" t="s">
        <v>2875</v>
      </c>
      <c r="C50" s="128">
        <v>26.0</v>
      </c>
      <c r="D50" s="128" t="s">
        <v>157</v>
      </c>
      <c r="E50" s="128" t="s">
        <v>13</v>
      </c>
      <c r="F50" s="128">
        <v>50.0</v>
      </c>
      <c r="G50" s="128" t="s">
        <v>2423</v>
      </c>
      <c r="H50" s="197" t="s">
        <v>2876</v>
      </c>
      <c r="I50" s="197" t="s">
        <v>2440</v>
      </c>
      <c r="J50" s="197" t="s">
        <v>2877</v>
      </c>
      <c r="K50" s="197" t="s">
        <v>2878</v>
      </c>
      <c r="L50" s="197" t="s">
        <v>683</v>
      </c>
      <c r="M50" s="197" t="s">
        <v>2879</v>
      </c>
      <c r="N50" s="128">
        <v>47.0</v>
      </c>
      <c r="O50" s="128" t="s">
        <v>136</v>
      </c>
    </row>
    <row r="51" ht="37.5" customHeight="1">
      <c r="A51" s="13"/>
      <c r="B51" s="128" t="s">
        <v>672</v>
      </c>
      <c r="C51" s="128">
        <v>29.0</v>
      </c>
      <c r="D51" s="128" t="s">
        <v>157</v>
      </c>
      <c r="E51" s="128" t="s">
        <v>13</v>
      </c>
      <c r="F51" s="128">
        <v>50.0</v>
      </c>
      <c r="G51" s="128" t="s">
        <v>2423</v>
      </c>
      <c r="H51" s="197" t="s">
        <v>2727</v>
      </c>
      <c r="I51" s="197" t="s">
        <v>2440</v>
      </c>
      <c r="J51" s="197" t="s">
        <v>2737</v>
      </c>
      <c r="K51" s="197" t="s">
        <v>2880</v>
      </c>
      <c r="L51" s="197" t="s">
        <v>1065</v>
      </c>
      <c r="M51" s="197" t="s">
        <v>2881</v>
      </c>
      <c r="N51" s="128">
        <v>48.0</v>
      </c>
      <c r="O51" s="128" t="s">
        <v>136</v>
      </c>
    </row>
    <row r="52" ht="37.5" customHeight="1">
      <c r="A52" s="13"/>
      <c r="B52" s="128" t="s">
        <v>529</v>
      </c>
      <c r="C52" s="128">
        <v>27.0</v>
      </c>
      <c r="D52" s="128" t="s">
        <v>73</v>
      </c>
      <c r="E52" s="128" t="s">
        <v>13</v>
      </c>
      <c r="F52" s="128">
        <v>49.0</v>
      </c>
      <c r="G52" s="128" t="s">
        <v>2423</v>
      </c>
      <c r="H52" s="197" t="s">
        <v>2727</v>
      </c>
      <c r="I52" s="197" t="s">
        <v>2440</v>
      </c>
      <c r="J52" s="197" t="s">
        <v>2882</v>
      </c>
      <c r="K52" s="197" t="s">
        <v>2883</v>
      </c>
      <c r="L52" s="197" t="s">
        <v>895</v>
      </c>
      <c r="M52" s="197" t="s">
        <v>2884</v>
      </c>
      <c r="N52" s="128">
        <v>49.0</v>
      </c>
      <c r="O52" s="128" t="s">
        <v>167</v>
      </c>
    </row>
    <row r="53" ht="37.5" customHeight="1">
      <c r="A53" s="14"/>
      <c r="B53" s="128" t="s">
        <v>2885</v>
      </c>
      <c r="C53" s="128">
        <v>29.0</v>
      </c>
      <c r="D53" s="128" t="s">
        <v>65</v>
      </c>
      <c r="E53" s="128" t="s">
        <v>24</v>
      </c>
      <c r="F53" s="128">
        <v>60.0</v>
      </c>
      <c r="G53" s="128" t="s">
        <v>2423</v>
      </c>
      <c r="H53" s="197" t="s">
        <v>2727</v>
      </c>
      <c r="I53" s="197" t="s">
        <v>2440</v>
      </c>
      <c r="J53" s="197" t="s">
        <v>2886</v>
      </c>
      <c r="K53" s="197" t="s">
        <v>728</v>
      </c>
      <c r="L53" s="197" t="s">
        <v>75</v>
      </c>
      <c r="M53" s="197" t="s">
        <v>2887</v>
      </c>
      <c r="N53" s="128">
        <v>50.0</v>
      </c>
      <c r="O53" s="128" t="s">
        <v>167</v>
      </c>
    </row>
    <row r="54" ht="37.5" customHeight="1">
      <c r="A54" s="13"/>
      <c r="B54" s="128" t="s">
        <v>2888</v>
      </c>
      <c r="C54" s="128">
        <v>29.0</v>
      </c>
      <c r="D54" s="128" t="s">
        <v>94</v>
      </c>
      <c r="E54" s="128" t="s">
        <v>16</v>
      </c>
      <c r="F54" s="128">
        <v>49.0</v>
      </c>
      <c r="G54" s="128" t="s">
        <v>2423</v>
      </c>
      <c r="H54" s="197" t="s">
        <v>2727</v>
      </c>
      <c r="I54" s="197" t="s">
        <v>2440</v>
      </c>
      <c r="J54" s="197" t="s">
        <v>1007</v>
      </c>
      <c r="K54" s="197" t="s">
        <v>2889</v>
      </c>
      <c r="L54" s="197" t="s">
        <v>1084</v>
      </c>
      <c r="M54" s="197" t="s">
        <v>2890</v>
      </c>
      <c r="N54" s="128">
        <v>51.0</v>
      </c>
      <c r="O54" s="128" t="s">
        <v>167</v>
      </c>
    </row>
    <row r="55" ht="37.5" customHeight="1">
      <c r="A55" s="13"/>
      <c r="B55" s="128" t="s">
        <v>2891</v>
      </c>
      <c r="C55" s="128">
        <v>29.0</v>
      </c>
      <c r="D55" s="128" t="s">
        <v>65</v>
      </c>
      <c r="E55" s="128" t="s">
        <v>16</v>
      </c>
      <c r="F55" s="128">
        <v>52.0</v>
      </c>
      <c r="G55" s="128" t="s">
        <v>2423</v>
      </c>
      <c r="H55" s="197" t="s">
        <v>2727</v>
      </c>
      <c r="I55" s="197" t="s">
        <v>2440</v>
      </c>
      <c r="J55" s="197" t="s">
        <v>2892</v>
      </c>
      <c r="K55" s="197" t="s">
        <v>2893</v>
      </c>
      <c r="L55" s="197" t="s">
        <v>2516</v>
      </c>
      <c r="M55" s="197" t="s">
        <v>2894</v>
      </c>
      <c r="N55" s="128">
        <v>52.0</v>
      </c>
      <c r="O55" s="128" t="s">
        <v>167</v>
      </c>
    </row>
    <row r="56" ht="37.5" customHeight="1">
      <c r="A56" s="13"/>
      <c r="B56" s="128" t="s">
        <v>2895</v>
      </c>
      <c r="C56" s="128">
        <v>21.0</v>
      </c>
      <c r="D56" s="128" t="s">
        <v>65</v>
      </c>
      <c r="E56" s="128" t="s">
        <v>16</v>
      </c>
      <c r="F56" s="128">
        <v>53.0</v>
      </c>
      <c r="G56" s="128" t="s">
        <v>2423</v>
      </c>
      <c r="H56" s="197" t="s">
        <v>2727</v>
      </c>
      <c r="I56" s="197" t="s">
        <v>2440</v>
      </c>
      <c r="J56" s="197" t="s">
        <v>957</v>
      </c>
      <c r="K56" s="197" t="s">
        <v>322</v>
      </c>
      <c r="L56" s="197" t="s">
        <v>2628</v>
      </c>
      <c r="M56" s="197" t="s">
        <v>2896</v>
      </c>
      <c r="N56" s="128">
        <v>53.0</v>
      </c>
      <c r="O56" s="128" t="s">
        <v>167</v>
      </c>
    </row>
    <row r="57" ht="37.5" customHeight="1">
      <c r="A57" s="13"/>
      <c r="B57" s="128" t="s">
        <v>2897</v>
      </c>
      <c r="C57" s="128">
        <v>29.0</v>
      </c>
      <c r="D57" s="128" t="s">
        <v>89</v>
      </c>
      <c r="E57" s="128" t="s">
        <v>17</v>
      </c>
      <c r="F57" s="128">
        <v>47.0</v>
      </c>
      <c r="G57" s="128" t="s">
        <v>2423</v>
      </c>
      <c r="H57" s="197" t="s">
        <v>2727</v>
      </c>
      <c r="I57" s="197" t="s">
        <v>2440</v>
      </c>
      <c r="J57" s="197" t="s">
        <v>2898</v>
      </c>
      <c r="K57" s="197" t="s">
        <v>2851</v>
      </c>
      <c r="L57" s="197" t="s">
        <v>2457</v>
      </c>
      <c r="M57" s="197" t="s">
        <v>2899</v>
      </c>
      <c r="N57" s="128">
        <v>54.0</v>
      </c>
      <c r="O57" s="128" t="s">
        <v>423</v>
      </c>
    </row>
    <row r="58" ht="37.5" customHeight="1">
      <c r="A58" s="13"/>
      <c r="B58" s="128" t="s">
        <v>2900</v>
      </c>
      <c r="C58" s="128">
        <v>16.0</v>
      </c>
      <c r="D58" s="128" t="s">
        <v>65</v>
      </c>
      <c r="E58" s="128" t="s">
        <v>13</v>
      </c>
      <c r="F58" s="128">
        <v>45.0</v>
      </c>
      <c r="G58" s="128" t="s">
        <v>2597</v>
      </c>
      <c r="H58" s="197" t="s">
        <v>2727</v>
      </c>
      <c r="I58" s="197" t="s">
        <v>2440</v>
      </c>
      <c r="J58" s="197" t="s">
        <v>2898</v>
      </c>
      <c r="K58" s="197" t="s">
        <v>1044</v>
      </c>
      <c r="L58" s="197" t="s">
        <v>2624</v>
      </c>
      <c r="M58" s="197" t="s">
        <v>2901</v>
      </c>
      <c r="N58" s="128">
        <v>55.0</v>
      </c>
      <c r="O58" s="128" t="s">
        <v>423</v>
      </c>
    </row>
    <row r="59" ht="37.5" customHeight="1">
      <c r="A59" s="13"/>
      <c r="B59" s="128" t="s">
        <v>2902</v>
      </c>
      <c r="C59" s="128">
        <v>29.0</v>
      </c>
      <c r="D59" s="128" t="s">
        <v>94</v>
      </c>
      <c r="E59" s="128" t="s">
        <v>17</v>
      </c>
      <c r="F59" s="128">
        <v>54.0</v>
      </c>
      <c r="G59" s="128" t="s">
        <v>2423</v>
      </c>
      <c r="H59" s="197" t="s">
        <v>2727</v>
      </c>
      <c r="I59" s="197" t="s">
        <v>2440</v>
      </c>
      <c r="J59" s="197" t="s">
        <v>2903</v>
      </c>
      <c r="K59" s="197" t="s">
        <v>2904</v>
      </c>
      <c r="L59" s="197" t="s">
        <v>2905</v>
      </c>
      <c r="M59" s="197" t="s">
        <v>2906</v>
      </c>
      <c r="N59" s="128">
        <v>56.0</v>
      </c>
      <c r="O59" s="128" t="s">
        <v>423</v>
      </c>
    </row>
    <row r="60" ht="37.5" customHeight="1">
      <c r="A60" s="13"/>
      <c r="B60" s="128" t="s">
        <v>2907</v>
      </c>
      <c r="C60" s="128">
        <v>29.0</v>
      </c>
      <c r="D60" s="128" t="s">
        <v>94</v>
      </c>
      <c r="E60" s="128" t="s">
        <v>17</v>
      </c>
      <c r="F60" s="128">
        <v>53.0</v>
      </c>
      <c r="G60" s="128" t="s">
        <v>2423</v>
      </c>
      <c r="H60" s="197" t="s">
        <v>2727</v>
      </c>
      <c r="I60" s="197" t="s">
        <v>2440</v>
      </c>
      <c r="J60" s="197" t="s">
        <v>2898</v>
      </c>
      <c r="K60" s="197" t="s">
        <v>2908</v>
      </c>
      <c r="L60" s="197" t="s">
        <v>1524</v>
      </c>
      <c r="M60" s="197" t="s">
        <v>2909</v>
      </c>
      <c r="N60" s="128">
        <v>57.0</v>
      </c>
      <c r="O60" s="128" t="s">
        <v>423</v>
      </c>
    </row>
    <row r="61" ht="37.5" customHeight="1">
      <c r="A61" s="13"/>
      <c r="B61" s="128" t="s">
        <v>2910</v>
      </c>
      <c r="C61" s="128">
        <v>29.0</v>
      </c>
      <c r="D61" s="128" t="s">
        <v>94</v>
      </c>
      <c r="E61" s="128" t="s">
        <v>16</v>
      </c>
      <c r="F61" s="128">
        <v>59.0</v>
      </c>
      <c r="G61" s="128" t="s">
        <v>2423</v>
      </c>
      <c r="H61" s="197" t="s">
        <v>2727</v>
      </c>
      <c r="I61" s="197" t="s">
        <v>2440</v>
      </c>
      <c r="J61" s="197" t="s">
        <v>2898</v>
      </c>
      <c r="K61" s="197" t="s">
        <v>2911</v>
      </c>
      <c r="L61" s="197" t="s">
        <v>425</v>
      </c>
      <c r="M61" s="197" t="s">
        <v>2912</v>
      </c>
      <c r="N61" s="128">
        <v>58.0</v>
      </c>
      <c r="O61" s="128" t="s">
        <v>423</v>
      </c>
    </row>
    <row r="62" ht="37.5" customHeight="1">
      <c r="A62" s="13"/>
      <c r="B62" s="128" t="s">
        <v>2913</v>
      </c>
      <c r="C62" s="128">
        <v>15.0</v>
      </c>
      <c r="D62" s="128" t="s">
        <v>73</v>
      </c>
      <c r="E62" s="128" t="s">
        <v>13</v>
      </c>
      <c r="F62" s="128">
        <v>52.0</v>
      </c>
      <c r="G62" s="128" t="s">
        <v>2597</v>
      </c>
      <c r="H62" s="197" t="s">
        <v>2876</v>
      </c>
      <c r="I62" s="197" t="s">
        <v>2440</v>
      </c>
      <c r="J62" s="197" t="s">
        <v>1007</v>
      </c>
      <c r="K62" s="197" t="s">
        <v>2914</v>
      </c>
      <c r="L62" s="197" t="s">
        <v>75</v>
      </c>
      <c r="M62" s="197" t="s">
        <v>2912</v>
      </c>
      <c r="N62" s="128">
        <v>59.0</v>
      </c>
      <c r="O62" s="128" t="s">
        <v>423</v>
      </c>
    </row>
    <row r="63" ht="37.5" customHeight="1">
      <c r="A63" s="13"/>
      <c r="B63" s="128" t="s">
        <v>2915</v>
      </c>
      <c r="C63" s="128">
        <v>29.0</v>
      </c>
      <c r="D63" s="128" t="s">
        <v>73</v>
      </c>
      <c r="E63" s="128" t="s">
        <v>17</v>
      </c>
      <c r="F63" s="128">
        <v>48.0</v>
      </c>
      <c r="G63" s="128" t="s">
        <v>2423</v>
      </c>
      <c r="H63" s="197" t="s">
        <v>2727</v>
      </c>
      <c r="I63" s="197" t="s">
        <v>2440</v>
      </c>
      <c r="J63" s="197" t="s">
        <v>2916</v>
      </c>
      <c r="K63" s="197" t="s">
        <v>2917</v>
      </c>
      <c r="L63" s="197" t="s">
        <v>895</v>
      </c>
      <c r="M63" s="197" t="s">
        <v>2918</v>
      </c>
      <c r="N63" s="128">
        <v>60.0</v>
      </c>
      <c r="O63" s="128" t="s">
        <v>447</v>
      </c>
    </row>
    <row r="64" ht="37.5" customHeight="1">
      <c r="A64" s="13"/>
      <c r="B64" s="128" t="s">
        <v>2919</v>
      </c>
      <c r="C64" s="128">
        <v>29.0</v>
      </c>
      <c r="D64" s="128" t="s">
        <v>89</v>
      </c>
      <c r="E64" s="128" t="s">
        <v>13</v>
      </c>
      <c r="F64" s="128">
        <v>53.0</v>
      </c>
      <c r="G64" s="128" t="s">
        <v>2423</v>
      </c>
      <c r="H64" s="197" t="s">
        <v>2727</v>
      </c>
      <c r="I64" s="197" t="s">
        <v>2440</v>
      </c>
      <c r="J64" s="197" t="s">
        <v>2920</v>
      </c>
      <c r="K64" s="197" t="s">
        <v>247</v>
      </c>
      <c r="L64" s="197" t="s">
        <v>1083</v>
      </c>
      <c r="M64" s="197" t="s">
        <v>2921</v>
      </c>
      <c r="N64" s="128">
        <v>61.0</v>
      </c>
      <c r="O64" s="128" t="s">
        <v>447</v>
      </c>
    </row>
    <row r="65" ht="37.5" customHeight="1">
      <c r="A65" s="13"/>
      <c r="B65" s="128" t="s">
        <v>2922</v>
      </c>
      <c r="C65" s="128">
        <v>11.0</v>
      </c>
      <c r="D65" s="128" t="s">
        <v>65</v>
      </c>
      <c r="E65" s="128" t="s">
        <v>17</v>
      </c>
      <c r="F65" s="128">
        <v>57.0</v>
      </c>
      <c r="G65" s="128" t="s">
        <v>2597</v>
      </c>
      <c r="H65" s="197" t="s">
        <v>2876</v>
      </c>
      <c r="I65" s="197" t="s">
        <v>2440</v>
      </c>
      <c r="J65" s="197" t="s">
        <v>1035</v>
      </c>
      <c r="K65" s="197" t="s">
        <v>1587</v>
      </c>
      <c r="L65" s="197" t="s">
        <v>75</v>
      </c>
      <c r="M65" s="197" t="s">
        <v>2923</v>
      </c>
      <c r="N65" s="128">
        <v>62.0</v>
      </c>
      <c r="O65" s="128" t="s">
        <v>447</v>
      </c>
    </row>
    <row r="66" ht="37.5" customHeight="1">
      <c r="A66" s="13"/>
      <c r="B66" s="128" t="s">
        <v>2924</v>
      </c>
      <c r="C66" s="128">
        <v>16.0</v>
      </c>
      <c r="D66" s="128" t="s">
        <v>65</v>
      </c>
      <c r="E66" s="128" t="s">
        <v>13</v>
      </c>
      <c r="F66" s="128">
        <v>52.0</v>
      </c>
      <c r="G66" s="128" t="s">
        <v>2597</v>
      </c>
      <c r="H66" s="197" t="s">
        <v>2727</v>
      </c>
      <c r="I66" s="197" t="s">
        <v>2440</v>
      </c>
      <c r="J66" s="197" t="s">
        <v>2925</v>
      </c>
      <c r="K66" s="197" t="s">
        <v>1005</v>
      </c>
      <c r="L66" s="197" t="s">
        <v>1073</v>
      </c>
      <c r="M66" s="197" t="s">
        <v>2884</v>
      </c>
      <c r="N66" s="128">
        <v>63.0</v>
      </c>
      <c r="O66" s="128" t="s">
        <v>447</v>
      </c>
    </row>
    <row r="67" ht="37.5" customHeight="1">
      <c r="A67" s="13"/>
      <c r="B67" s="128" t="s">
        <v>2926</v>
      </c>
      <c r="C67" s="128">
        <v>18.0</v>
      </c>
      <c r="D67" s="128" t="s">
        <v>89</v>
      </c>
      <c r="E67" s="128" t="s">
        <v>16</v>
      </c>
      <c r="F67" s="128">
        <v>50.0</v>
      </c>
      <c r="G67" s="128" t="s">
        <v>2597</v>
      </c>
      <c r="H67" s="197" t="s">
        <v>2727</v>
      </c>
      <c r="I67" s="197" t="s">
        <v>2440</v>
      </c>
      <c r="J67" s="197" t="s">
        <v>210</v>
      </c>
      <c r="K67" s="197" t="s">
        <v>247</v>
      </c>
      <c r="L67" s="197" t="s">
        <v>1527</v>
      </c>
      <c r="M67" s="197" t="s">
        <v>2927</v>
      </c>
      <c r="N67" s="128">
        <v>64.0</v>
      </c>
      <c r="O67" s="128" t="s">
        <v>447</v>
      </c>
    </row>
    <row r="68" ht="37.5" customHeight="1">
      <c r="A68" s="13"/>
      <c r="B68" s="128" t="s">
        <v>2928</v>
      </c>
      <c r="C68" s="128">
        <v>10.0</v>
      </c>
      <c r="D68" s="128" t="s">
        <v>89</v>
      </c>
      <c r="E68" s="128" t="s">
        <v>13</v>
      </c>
      <c r="F68" s="128">
        <v>60.0</v>
      </c>
      <c r="G68" s="128" t="s">
        <v>2597</v>
      </c>
      <c r="H68" s="197" t="s">
        <v>2876</v>
      </c>
      <c r="I68" s="197" t="s">
        <v>2440</v>
      </c>
      <c r="J68" s="197" t="s">
        <v>85</v>
      </c>
      <c r="K68" s="197" t="s">
        <v>1038</v>
      </c>
      <c r="L68" s="197" t="s">
        <v>75</v>
      </c>
      <c r="M68" s="197" t="s">
        <v>2929</v>
      </c>
      <c r="N68" s="128">
        <v>65.0</v>
      </c>
      <c r="O68" s="128" t="s">
        <v>447</v>
      </c>
    </row>
    <row r="69" ht="37.5" customHeight="1">
      <c r="A69" s="13"/>
      <c r="B69" s="128" t="s">
        <v>2930</v>
      </c>
      <c r="C69" s="128">
        <v>12.0</v>
      </c>
      <c r="D69" s="128" t="s">
        <v>89</v>
      </c>
      <c r="E69" s="128" t="s">
        <v>16</v>
      </c>
      <c r="F69" s="128">
        <v>40.0</v>
      </c>
      <c r="G69" s="128" t="s">
        <v>2597</v>
      </c>
      <c r="H69" s="197" t="s">
        <v>2876</v>
      </c>
      <c r="I69" s="197" t="s">
        <v>2440</v>
      </c>
      <c r="J69" s="197" t="s">
        <v>1007</v>
      </c>
      <c r="K69" s="197" t="s">
        <v>1038</v>
      </c>
      <c r="L69" s="197" t="s">
        <v>75</v>
      </c>
      <c r="M69" s="197" t="s">
        <v>2929</v>
      </c>
      <c r="N69" s="128">
        <v>66.0</v>
      </c>
      <c r="O69" s="128" t="s">
        <v>447</v>
      </c>
    </row>
    <row r="70" ht="37.5" customHeight="1">
      <c r="A70" s="13"/>
      <c r="B70" s="128" t="s">
        <v>2931</v>
      </c>
      <c r="C70" s="128">
        <v>29.0</v>
      </c>
      <c r="D70" s="128" t="s">
        <v>83</v>
      </c>
      <c r="E70" s="128" t="s">
        <v>13</v>
      </c>
      <c r="F70" s="128">
        <v>55.0</v>
      </c>
      <c r="G70" s="128" t="s">
        <v>2423</v>
      </c>
      <c r="H70" s="197" t="s">
        <v>2727</v>
      </c>
      <c r="I70" s="197" t="s">
        <v>2440</v>
      </c>
      <c r="J70" s="197" t="s">
        <v>999</v>
      </c>
      <c r="K70" s="197" t="s">
        <v>1580</v>
      </c>
      <c r="L70" s="197" t="s">
        <v>1072</v>
      </c>
      <c r="M70" s="197" t="s">
        <v>2932</v>
      </c>
      <c r="N70" s="128">
        <v>67.0</v>
      </c>
      <c r="O70" s="128" t="s">
        <v>447</v>
      </c>
    </row>
  </sheetData>
  <autoFilter ref="$A$2:$O$70">
    <sortState ref="A2:O70">
      <sortCondition ref="N2:N70"/>
      <sortCondition ref="B2:B70"/>
    </sortState>
  </autoFilter>
  <mergeCells count="4">
    <mergeCell ref="A1:B1"/>
    <mergeCell ref="C1:G1"/>
    <mergeCell ref="H1:L1"/>
    <mergeCell ref="M1:O1"/>
  </mergeCells>
  <conditionalFormatting sqref="D3:D70">
    <cfRule type="cellIs" dxfId="19" priority="1" operator="equal">
      <formula>"Kinetic"</formula>
    </cfRule>
  </conditionalFormatting>
  <conditionalFormatting sqref="O3:O70">
    <cfRule type="cellIs" dxfId="3" priority="2" operator="equal">
      <formula>"F"</formula>
    </cfRule>
  </conditionalFormatting>
  <conditionalFormatting sqref="O3:O70">
    <cfRule type="cellIs" dxfId="4" priority="3" operator="equal">
      <formula>"E"</formula>
    </cfRule>
  </conditionalFormatting>
  <conditionalFormatting sqref="N3:O7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70">
    <cfRule type="cellIs" dxfId="13" priority="5" operator="equal">
      <formula>"Solar"</formula>
    </cfRule>
  </conditionalFormatting>
  <conditionalFormatting sqref="D3:D70">
    <cfRule type="cellIs" dxfId="20" priority="6" operator="equal">
      <formula>"Arc"</formula>
    </cfRule>
  </conditionalFormatting>
  <conditionalFormatting sqref="D3:D70">
    <cfRule type="cellIs" dxfId="21" priority="7" operator="equal">
      <formula>"Stasis"</formula>
    </cfRule>
  </conditionalFormatting>
  <conditionalFormatting sqref="D3:D70">
    <cfRule type="cellIs" dxfId="18" priority="8" operator="equal">
      <formula>"Void"</formula>
    </cfRule>
  </conditionalFormatting>
  <conditionalFormatting sqref="D3:D70">
    <cfRule type="cellIs" dxfId="17" priority="9" operator="equal">
      <formula>"Strand"</formula>
    </cfRule>
  </conditionalFormatting>
  <conditionalFormatting sqref="G3:G70">
    <cfRule type="cellIs" dxfId="17" priority="10" operator="equal">
      <formula>"Yes"</formula>
    </cfRule>
  </conditionalFormatting>
  <conditionalFormatting sqref="G3:G70">
    <cfRule type="cellIs" dxfId="2" priority="11" operator="equal">
      <formula>"No"</formula>
    </cfRule>
  </conditionalFormatting>
  <conditionalFormatting sqref="O3:O70">
    <cfRule type="cellIs" dxfId="5" priority="12" operator="equal">
      <formula>"S"</formula>
    </cfRule>
  </conditionalFormatting>
  <conditionalFormatting sqref="O3:O70">
    <cfRule type="cellIs" dxfId="6" priority="13" operator="equal">
      <formula>"B"</formula>
    </cfRule>
  </conditionalFormatting>
  <conditionalFormatting sqref="O3:O70">
    <cfRule type="cellIs" dxfId="7" priority="14" operator="equal">
      <formula>"D"</formula>
    </cfRule>
  </conditionalFormatting>
  <conditionalFormatting sqref="O3:O70">
    <cfRule type="cellIs" dxfId="8" priority="15" operator="equal">
      <formula>"C"</formula>
    </cfRule>
  </conditionalFormatting>
  <conditionalFormatting sqref="O3:O70">
    <cfRule type="cellIs" dxfId="9" priority="16" operator="equal">
      <formula>"A"</formula>
    </cfRule>
  </conditionalFormatting>
  <conditionalFormatting sqref="F3:F70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70">
    <cfRule type="expression" dxfId="12" priority="18">
      <formula>$C3=MAX($C$3:$C70)</formula>
    </cfRule>
  </conditionalFormatting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13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/>
      <c r="D1" s="191" t="s">
        <v>1979</v>
      </c>
      <c r="E1" s="191"/>
      <c r="F1" s="191"/>
      <c r="G1" s="191"/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2933</v>
      </c>
      <c r="C3" s="128">
        <v>29.0</v>
      </c>
      <c r="D3" s="128" t="s">
        <v>94</v>
      </c>
      <c r="E3" s="128" t="s">
        <v>14</v>
      </c>
      <c r="F3" s="128">
        <v>46.0</v>
      </c>
      <c r="G3" s="128" t="s">
        <v>2423</v>
      </c>
      <c r="H3" s="197" t="s">
        <v>2439</v>
      </c>
      <c r="I3" s="197" t="s">
        <v>2440</v>
      </c>
      <c r="J3" s="197" t="s">
        <v>739</v>
      </c>
      <c r="K3" s="197" t="s">
        <v>1831</v>
      </c>
      <c r="L3" s="197" t="s">
        <v>895</v>
      </c>
      <c r="M3" s="197" t="s">
        <v>2934</v>
      </c>
      <c r="N3" s="128">
        <v>1.0</v>
      </c>
      <c r="O3" s="128" t="s">
        <v>71</v>
      </c>
    </row>
    <row r="4" ht="37.5" customHeight="1">
      <c r="A4" s="128"/>
      <c r="B4" s="128" t="s">
        <v>788</v>
      </c>
      <c r="C4" s="128">
        <v>29.0</v>
      </c>
      <c r="D4" s="128" t="s">
        <v>94</v>
      </c>
      <c r="E4" s="128" t="s">
        <v>30</v>
      </c>
      <c r="F4" s="128">
        <v>49.0</v>
      </c>
      <c r="G4" s="128" t="s">
        <v>2423</v>
      </c>
      <c r="H4" s="197" t="s">
        <v>2727</v>
      </c>
      <c r="I4" s="197" t="s">
        <v>2440</v>
      </c>
      <c r="J4" s="197" t="s">
        <v>2935</v>
      </c>
      <c r="K4" s="197" t="s">
        <v>2936</v>
      </c>
      <c r="L4" s="197" t="s">
        <v>2457</v>
      </c>
      <c r="M4" s="197" t="s">
        <v>2937</v>
      </c>
      <c r="N4" s="128">
        <v>2.0</v>
      </c>
      <c r="O4" s="128" t="s">
        <v>71</v>
      </c>
    </row>
    <row r="5" ht="37.5" customHeight="1">
      <c r="A5" s="13"/>
      <c r="B5" s="128" t="s">
        <v>1268</v>
      </c>
      <c r="C5" s="128">
        <v>29.0</v>
      </c>
      <c r="D5" s="128" t="s">
        <v>94</v>
      </c>
      <c r="E5" s="128" t="s">
        <v>14</v>
      </c>
      <c r="F5" s="128">
        <v>55.0</v>
      </c>
      <c r="G5" s="128" t="s">
        <v>2423</v>
      </c>
      <c r="H5" s="197" t="s">
        <v>2439</v>
      </c>
      <c r="I5" s="197" t="s">
        <v>2440</v>
      </c>
      <c r="J5" s="197" t="s">
        <v>2748</v>
      </c>
      <c r="K5" s="197" t="s">
        <v>900</v>
      </c>
      <c r="L5" s="197" t="s">
        <v>1214</v>
      </c>
      <c r="M5" s="197" t="s">
        <v>2938</v>
      </c>
      <c r="N5" s="128">
        <v>3.0</v>
      </c>
      <c r="O5" s="128" t="s">
        <v>71</v>
      </c>
    </row>
    <row r="6" ht="37.5" customHeight="1">
      <c r="A6" s="128"/>
      <c r="B6" s="128" t="s">
        <v>431</v>
      </c>
      <c r="C6" s="128">
        <v>28.0</v>
      </c>
      <c r="D6" s="128" t="s">
        <v>94</v>
      </c>
      <c r="E6" s="128" t="s">
        <v>24</v>
      </c>
      <c r="F6" s="128">
        <v>56.0</v>
      </c>
      <c r="G6" s="128" t="s">
        <v>2423</v>
      </c>
      <c r="H6" s="197" t="s">
        <v>2439</v>
      </c>
      <c r="I6" s="197" t="s">
        <v>2440</v>
      </c>
      <c r="J6" s="197" t="s">
        <v>2939</v>
      </c>
      <c r="K6" s="197" t="s">
        <v>900</v>
      </c>
      <c r="L6" s="197" t="s">
        <v>2489</v>
      </c>
      <c r="M6" s="197" t="s">
        <v>2940</v>
      </c>
      <c r="N6" s="128">
        <v>4.0</v>
      </c>
      <c r="O6" s="128" t="s">
        <v>71</v>
      </c>
    </row>
    <row r="7" ht="37.5" customHeight="1">
      <c r="A7" s="13"/>
      <c r="B7" s="128" t="s">
        <v>1412</v>
      </c>
      <c r="C7" s="128">
        <v>24.0</v>
      </c>
      <c r="D7" s="128" t="s">
        <v>73</v>
      </c>
      <c r="E7" s="128" t="s">
        <v>30</v>
      </c>
      <c r="F7" s="128">
        <v>51.0</v>
      </c>
      <c r="G7" s="128" t="s">
        <v>2423</v>
      </c>
      <c r="H7" s="197" t="s">
        <v>2727</v>
      </c>
      <c r="I7" s="197" t="s">
        <v>2440</v>
      </c>
      <c r="J7" s="197" t="s">
        <v>2941</v>
      </c>
      <c r="K7" s="197" t="s">
        <v>2942</v>
      </c>
      <c r="L7" s="197" t="s">
        <v>1063</v>
      </c>
      <c r="M7" s="197" t="s">
        <v>2943</v>
      </c>
      <c r="N7" s="128">
        <v>5.0</v>
      </c>
      <c r="O7" s="128" t="s">
        <v>71</v>
      </c>
    </row>
    <row r="8" ht="37.5" customHeight="1">
      <c r="A8" s="13"/>
      <c r="B8" s="128" t="s">
        <v>2944</v>
      </c>
      <c r="C8" s="128">
        <v>29.0</v>
      </c>
      <c r="D8" s="128" t="s">
        <v>94</v>
      </c>
      <c r="E8" s="128" t="s">
        <v>32</v>
      </c>
      <c r="F8" s="128">
        <v>54.0</v>
      </c>
      <c r="G8" s="128" t="s">
        <v>2423</v>
      </c>
      <c r="H8" s="197" t="s">
        <v>2439</v>
      </c>
      <c r="I8" s="197" t="s">
        <v>2440</v>
      </c>
      <c r="J8" s="197" t="s">
        <v>2748</v>
      </c>
      <c r="K8" s="197" t="s">
        <v>2945</v>
      </c>
      <c r="L8" s="197" t="s">
        <v>2543</v>
      </c>
      <c r="M8" s="197" t="s">
        <v>2946</v>
      </c>
      <c r="N8" s="128">
        <v>6.0</v>
      </c>
      <c r="O8" s="128" t="s">
        <v>71</v>
      </c>
    </row>
    <row r="9" ht="37.5" customHeight="1">
      <c r="A9" s="128"/>
      <c r="B9" s="128" t="s">
        <v>480</v>
      </c>
      <c r="C9" s="128">
        <v>28.0</v>
      </c>
      <c r="D9" s="128" t="s">
        <v>94</v>
      </c>
      <c r="E9" s="128" t="s">
        <v>2175</v>
      </c>
      <c r="F9" s="128">
        <v>58.0</v>
      </c>
      <c r="G9" s="128" t="s">
        <v>2423</v>
      </c>
      <c r="H9" s="197" t="s">
        <v>2439</v>
      </c>
      <c r="I9" s="197" t="s">
        <v>2469</v>
      </c>
      <c r="J9" s="197" t="s">
        <v>2947</v>
      </c>
      <c r="K9" s="197" t="s">
        <v>2948</v>
      </c>
      <c r="L9" s="197" t="s">
        <v>2472</v>
      </c>
      <c r="M9" s="197" t="s">
        <v>2949</v>
      </c>
      <c r="N9" s="128">
        <v>7.0</v>
      </c>
      <c r="O9" s="128" t="s">
        <v>71</v>
      </c>
    </row>
    <row r="10" ht="37.5" customHeight="1">
      <c r="A10" s="13"/>
      <c r="B10" s="128" t="s">
        <v>2026</v>
      </c>
      <c r="C10" s="128">
        <v>29.0</v>
      </c>
      <c r="D10" s="128" t="s">
        <v>89</v>
      </c>
      <c r="E10" s="128" t="s">
        <v>32</v>
      </c>
      <c r="F10" s="128">
        <v>55.0</v>
      </c>
      <c r="G10" s="128" t="s">
        <v>2423</v>
      </c>
      <c r="H10" s="197" t="s">
        <v>2439</v>
      </c>
      <c r="I10" s="197" t="s">
        <v>2440</v>
      </c>
      <c r="J10" s="197" t="s">
        <v>2950</v>
      </c>
      <c r="K10" s="197" t="s">
        <v>2951</v>
      </c>
      <c r="L10" s="197" t="s">
        <v>2467</v>
      </c>
      <c r="M10" s="197" t="s">
        <v>2952</v>
      </c>
      <c r="N10" s="128">
        <v>8.0</v>
      </c>
      <c r="O10" s="128" t="s">
        <v>92</v>
      </c>
    </row>
    <row r="11" ht="37.5" customHeight="1">
      <c r="A11" s="13"/>
      <c r="B11" s="128" t="s">
        <v>2953</v>
      </c>
      <c r="C11" s="128">
        <v>29.0</v>
      </c>
      <c r="D11" s="128" t="s">
        <v>65</v>
      </c>
      <c r="E11" s="128" t="s">
        <v>14</v>
      </c>
      <c r="F11" s="128">
        <v>57.0</v>
      </c>
      <c r="G11" s="128" t="s">
        <v>2423</v>
      </c>
      <c r="H11" s="197" t="s">
        <v>2439</v>
      </c>
      <c r="I11" s="197" t="s">
        <v>2440</v>
      </c>
      <c r="J11" s="197" t="s">
        <v>2954</v>
      </c>
      <c r="K11" s="197" t="s">
        <v>2955</v>
      </c>
      <c r="L11" s="197" t="s">
        <v>1503</v>
      </c>
      <c r="M11" s="197" t="s">
        <v>2956</v>
      </c>
      <c r="N11" s="128">
        <v>9.0</v>
      </c>
      <c r="O11" s="128" t="s">
        <v>92</v>
      </c>
    </row>
    <row r="12" ht="37.5" customHeight="1">
      <c r="A12" s="128"/>
      <c r="B12" s="128" t="s">
        <v>446</v>
      </c>
      <c r="C12" s="128">
        <v>28.0</v>
      </c>
      <c r="D12" s="128" t="s">
        <v>65</v>
      </c>
      <c r="E12" s="128" t="s">
        <v>14</v>
      </c>
      <c r="F12" s="128">
        <v>56.0</v>
      </c>
      <c r="G12" s="128" t="s">
        <v>2423</v>
      </c>
      <c r="H12" s="197" t="s">
        <v>2439</v>
      </c>
      <c r="I12" s="197" t="s">
        <v>2440</v>
      </c>
      <c r="J12" s="197" t="s">
        <v>2957</v>
      </c>
      <c r="K12" s="197" t="s">
        <v>2537</v>
      </c>
      <c r="L12" s="197" t="s">
        <v>2457</v>
      </c>
      <c r="M12" s="197" t="s">
        <v>2958</v>
      </c>
      <c r="N12" s="128">
        <v>10.0</v>
      </c>
      <c r="O12" s="128" t="s">
        <v>92</v>
      </c>
    </row>
    <row r="13" ht="37.5" customHeight="1">
      <c r="A13" s="13"/>
      <c r="B13" s="128" t="s">
        <v>2959</v>
      </c>
      <c r="C13" s="128">
        <v>25.0</v>
      </c>
      <c r="D13" s="128" t="s">
        <v>65</v>
      </c>
      <c r="E13" s="128" t="s">
        <v>13</v>
      </c>
      <c r="F13" s="128">
        <v>53.0</v>
      </c>
      <c r="G13" s="128" t="s">
        <v>2423</v>
      </c>
      <c r="H13" s="197" t="s">
        <v>2439</v>
      </c>
      <c r="I13" s="197" t="s">
        <v>2440</v>
      </c>
      <c r="J13" s="197" t="s">
        <v>957</v>
      </c>
      <c r="K13" s="197" t="s">
        <v>987</v>
      </c>
      <c r="L13" s="197" t="s">
        <v>1067</v>
      </c>
      <c r="M13" s="197" t="s">
        <v>2960</v>
      </c>
      <c r="N13" s="128">
        <v>11.0</v>
      </c>
      <c r="O13" s="128" t="s">
        <v>92</v>
      </c>
    </row>
    <row r="14" ht="37.5" customHeight="1">
      <c r="A14" s="128"/>
      <c r="B14" s="128" t="s">
        <v>474</v>
      </c>
      <c r="C14" s="128">
        <v>28.0</v>
      </c>
      <c r="D14" s="128" t="s">
        <v>83</v>
      </c>
      <c r="E14" s="128" t="s">
        <v>2172</v>
      </c>
      <c r="F14" s="128">
        <v>56.0</v>
      </c>
      <c r="G14" s="128" t="s">
        <v>2423</v>
      </c>
      <c r="H14" s="197" t="s">
        <v>2439</v>
      </c>
      <c r="I14" s="197" t="s">
        <v>2469</v>
      </c>
      <c r="J14" s="197" t="s">
        <v>2961</v>
      </c>
      <c r="K14" s="197" t="s">
        <v>2571</v>
      </c>
      <c r="L14" s="197" t="s">
        <v>2457</v>
      </c>
      <c r="M14" s="197" t="s">
        <v>2962</v>
      </c>
      <c r="N14" s="128">
        <v>12.0</v>
      </c>
      <c r="O14" s="128" t="s">
        <v>92</v>
      </c>
    </row>
    <row r="15" ht="37.5" customHeight="1">
      <c r="A15" s="14"/>
      <c r="B15" s="128" t="s">
        <v>2963</v>
      </c>
      <c r="C15" s="128">
        <v>29.0</v>
      </c>
      <c r="D15" s="128" t="s">
        <v>65</v>
      </c>
      <c r="E15" s="128" t="s">
        <v>24</v>
      </c>
      <c r="F15" s="128">
        <v>55.0</v>
      </c>
      <c r="G15" s="128" t="s">
        <v>2423</v>
      </c>
      <c r="H15" s="197" t="s">
        <v>2439</v>
      </c>
      <c r="I15" s="197" t="s">
        <v>2440</v>
      </c>
      <c r="J15" s="197" t="s">
        <v>2964</v>
      </c>
      <c r="K15" s="197" t="s">
        <v>2528</v>
      </c>
      <c r="L15" s="197" t="s">
        <v>1077</v>
      </c>
      <c r="M15" s="197" t="s">
        <v>2965</v>
      </c>
      <c r="N15" s="128">
        <v>13.0</v>
      </c>
      <c r="O15" s="128" t="s">
        <v>92</v>
      </c>
    </row>
    <row r="16" ht="37.5" customHeight="1">
      <c r="A16" s="13"/>
      <c r="B16" s="128" t="s">
        <v>1414</v>
      </c>
      <c r="C16" s="128">
        <v>29.0</v>
      </c>
      <c r="D16" s="128" t="s">
        <v>65</v>
      </c>
      <c r="E16" s="128" t="s">
        <v>30</v>
      </c>
      <c r="F16" s="128">
        <v>52.0</v>
      </c>
      <c r="G16" s="128" t="s">
        <v>2423</v>
      </c>
      <c r="H16" s="197" t="s">
        <v>2727</v>
      </c>
      <c r="I16" s="197" t="s">
        <v>2440</v>
      </c>
      <c r="J16" s="197" t="s">
        <v>2966</v>
      </c>
      <c r="K16" s="197" t="s">
        <v>322</v>
      </c>
      <c r="L16" s="197" t="s">
        <v>1077</v>
      </c>
      <c r="M16" s="197" t="s">
        <v>2967</v>
      </c>
      <c r="N16" s="128">
        <v>14.0</v>
      </c>
      <c r="O16" s="128" t="s">
        <v>92</v>
      </c>
    </row>
    <row r="17" ht="37.5" customHeight="1">
      <c r="A17" s="13"/>
      <c r="B17" s="128" t="s">
        <v>2968</v>
      </c>
      <c r="C17" s="128">
        <v>29.0</v>
      </c>
      <c r="D17" s="128" t="s">
        <v>94</v>
      </c>
      <c r="E17" s="128" t="s">
        <v>264</v>
      </c>
      <c r="F17" s="128">
        <v>53.0</v>
      </c>
      <c r="G17" s="128" t="s">
        <v>2423</v>
      </c>
      <c r="H17" s="197" t="s">
        <v>2439</v>
      </c>
      <c r="I17" s="197" t="s">
        <v>2440</v>
      </c>
      <c r="J17" s="197" t="s">
        <v>2969</v>
      </c>
      <c r="K17" s="197" t="s">
        <v>2970</v>
      </c>
      <c r="L17" s="197" t="s">
        <v>2533</v>
      </c>
      <c r="M17" s="197" t="s">
        <v>2971</v>
      </c>
      <c r="N17" s="128">
        <v>15.0</v>
      </c>
      <c r="O17" s="128" t="s">
        <v>92</v>
      </c>
    </row>
    <row r="18" ht="37.5" customHeight="1">
      <c r="A18" s="13"/>
      <c r="B18" s="128" t="s">
        <v>2972</v>
      </c>
      <c r="C18" s="128">
        <v>29.0</v>
      </c>
      <c r="D18" s="128" t="s">
        <v>94</v>
      </c>
      <c r="E18" s="128" t="s">
        <v>264</v>
      </c>
      <c r="F18" s="128">
        <v>52.0</v>
      </c>
      <c r="G18" s="128" t="s">
        <v>2423</v>
      </c>
      <c r="H18" s="197" t="s">
        <v>2439</v>
      </c>
      <c r="I18" s="197" t="s">
        <v>2440</v>
      </c>
      <c r="J18" s="197" t="s">
        <v>2973</v>
      </c>
      <c r="K18" s="197" t="s">
        <v>2974</v>
      </c>
      <c r="L18" s="197" t="s">
        <v>2779</v>
      </c>
      <c r="M18" s="197" t="s">
        <v>2975</v>
      </c>
      <c r="N18" s="128">
        <v>16.0</v>
      </c>
      <c r="O18" s="128" t="s">
        <v>92</v>
      </c>
    </row>
    <row r="19" ht="37.5" customHeight="1">
      <c r="A19" s="13"/>
      <c r="B19" s="128" t="s">
        <v>2976</v>
      </c>
      <c r="C19" s="128">
        <v>29.0</v>
      </c>
      <c r="D19" s="128" t="s">
        <v>157</v>
      </c>
      <c r="E19" s="128" t="s">
        <v>14</v>
      </c>
      <c r="F19" s="128">
        <v>53.0</v>
      </c>
      <c r="G19" s="128" t="s">
        <v>2423</v>
      </c>
      <c r="H19" s="197" t="s">
        <v>2439</v>
      </c>
      <c r="I19" s="197" t="s">
        <v>2440</v>
      </c>
      <c r="J19" s="197" t="s">
        <v>1649</v>
      </c>
      <c r="K19" s="197" t="s">
        <v>2977</v>
      </c>
      <c r="L19" s="197" t="s">
        <v>895</v>
      </c>
      <c r="M19" s="197" t="s">
        <v>2978</v>
      </c>
      <c r="N19" s="128">
        <v>17.0</v>
      </c>
      <c r="O19" s="128" t="s">
        <v>92</v>
      </c>
    </row>
    <row r="20" ht="37.5" customHeight="1">
      <c r="A20" s="13"/>
      <c r="B20" s="128" t="s">
        <v>2979</v>
      </c>
      <c r="C20" s="128">
        <v>25.0</v>
      </c>
      <c r="D20" s="128" t="s">
        <v>73</v>
      </c>
      <c r="E20" s="128" t="s">
        <v>14</v>
      </c>
      <c r="F20" s="128">
        <v>47.0</v>
      </c>
      <c r="G20" s="128" t="s">
        <v>2423</v>
      </c>
      <c r="H20" s="197" t="s">
        <v>2439</v>
      </c>
      <c r="I20" s="197" t="s">
        <v>2440</v>
      </c>
      <c r="J20" s="197" t="s">
        <v>2980</v>
      </c>
      <c r="K20" s="197" t="s">
        <v>1584</v>
      </c>
      <c r="L20" s="197" t="s">
        <v>2628</v>
      </c>
      <c r="M20" s="197" t="s">
        <v>2981</v>
      </c>
      <c r="N20" s="128">
        <v>18.0</v>
      </c>
      <c r="O20" s="128" t="s">
        <v>92</v>
      </c>
    </row>
    <row r="21" ht="37.5" customHeight="1">
      <c r="A21" s="13"/>
      <c r="B21" s="128" t="s">
        <v>2982</v>
      </c>
      <c r="C21" s="128">
        <v>29.0</v>
      </c>
      <c r="D21" s="128" t="s">
        <v>73</v>
      </c>
      <c r="E21" s="128" t="s">
        <v>13</v>
      </c>
      <c r="F21" s="128">
        <v>52.0</v>
      </c>
      <c r="G21" s="128" t="s">
        <v>2423</v>
      </c>
      <c r="H21" s="197" t="s">
        <v>2439</v>
      </c>
      <c r="I21" s="197" t="s">
        <v>2440</v>
      </c>
      <c r="J21" s="197" t="s">
        <v>2983</v>
      </c>
      <c r="K21" s="197" t="s">
        <v>1584</v>
      </c>
      <c r="L21" s="197" t="s">
        <v>2905</v>
      </c>
      <c r="M21" s="197" t="s">
        <v>2984</v>
      </c>
      <c r="N21" s="128">
        <v>19.0</v>
      </c>
      <c r="O21" s="128" t="s">
        <v>92</v>
      </c>
    </row>
    <row r="22" ht="37.5" customHeight="1">
      <c r="A22" s="13"/>
      <c r="B22" s="128" t="s">
        <v>2029</v>
      </c>
      <c r="C22" s="128">
        <v>29.0</v>
      </c>
      <c r="D22" s="128" t="s">
        <v>73</v>
      </c>
      <c r="E22" s="128" t="s">
        <v>14</v>
      </c>
      <c r="F22" s="128">
        <v>50.0</v>
      </c>
      <c r="G22" s="128" t="s">
        <v>2423</v>
      </c>
      <c r="H22" s="197" t="s">
        <v>2439</v>
      </c>
      <c r="I22" s="197" t="s">
        <v>2440</v>
      </c>
      <c r="J22" s="197" t="s">
        <v>2470</v>
      </c>
      <c r="K22" s="197" t="s">
        <v>2471</v>
      </c>
      <c r="L22" s="197" t="s">
        <v>1065</v>
      </c>
      <c r="M22" s="197" t="s">
        <v>2985</v>
      </c>
      <c r="N22" s="128">
        <v>20.0</v>
      </c>
      <c r="O22" s="128" t="s">
        <v>92</v>
      </c>
    </row>
    <row r="23" ht="37.5" customHeight="1">
      <c r="A23" s="128"/>
      <c r="B23" s="128" t="s">
        <v>823</v>
      </c>
      <c r="C23" s="128">
        <v>29.0</v>
      </c>
      <c r="D23" s="128" t="s">
        <v>157</v>
      </c>
      <c r="E23" s="128" t="s">
        <v>33</v>
      </c>
      <c r="F23" s="128">
        <v>60.0</v>
      </c>
      <c r="G23" s="128" t="s">
        <v>2423</v>
      </c>
      <c r="H23" s="197" t="s">
        <v>2439</v>
      </c>
      <c r="I23" s="197" t="s">
        <v>2440</v>
      </c>
      <c r="J23" s="197" t="s">
        <v>2986</v>
      </c>
      <c r="K23" s="197" t="s">
        <v>986</v>
      </c>
      <c r="L23" s="197" t="s">
        <v>75</v>
      </c>
      <c r="M23" s="197" t="s">
        <v>2987</v>
      </c>
      <c r="N23" s="128">
        <v>21.0</v>
      </c>
      <c r="O23" s="128" t="s">
        <v>92</v>
      </c>
    </row>
    <row r="24" ht="37.5" customHeight="1">
      <c r="A24" s="13"/>
      <c r="B24" s="128" t="s">
        <v>2988</v>
      </c>
      <c r="C24" s="128">
        <v>29.0</v>
      </c>
      <c r="D24" s="128" t="s">
        <v>157</v>
      </c>
      <c r="E24" s="128" t="s">
        <v>13</v>
      </c>
      <c r="F24" s="128">
        <v>49.0</v>
      </c>
      <c r="G24" s="128" t="s">
        <v>2423</v>
      </c>
      <c r="H24" s="197" t="s">
        <v>2439</v>
      </c>
      <c r="I24" s="197" t="s">
        <v>2440</v>
      </c>
      <c r="J24" s="197" t="s">
        <v>2659</v>
      </c>
      <c r="K24" s="197" t="s">
        <v>2989</v>
      </c>
      <c r="L24" s="197" t="s">
        <v>2462</v>
      </c>
      <c r="M24" s="197" t="s">
        <v>2990</v>
      </c>
      <c r="N24" s="128">
        <v>22.0</v>
      </c>
      <c r="O24" s="128" t="s">
        <v>92</v>
      </c>
    </row>
    <row r="25" ht="37.5" customHeight="1">
      <c r="A25" s="13"/>
      <c r="B25" s="128" t="s">
        <v>2028</v>
      </c>
      <c r="C25" s="128">
        <v>29.0</v>
      </c>
      <c r="D25" s="128" t="s">
        <v>89</v>
      </c>
      <c r="E25" s="128" t="s">
        <v>24</v>
      </c>
      <c r="F25" s="128">
        <v>49.0</v>
      </c>
      <c r="G25" s="128" t="s">
        <v>2423</v>
      </c>
      <c r="H25" s="197" t="s">
        <v>2439</v>
      </c>
      <c r="I25" s="197" t="s">
        <v>2440</v>
      </c>
      <c r="J25" s="197"/>
      <c r="K25" s="197"/>
      <c r="L25" s="197"/>
      <c r="M25" s="197"/>
      <c r="N25" s="128">
        <v>23.0</v>
      </c>
      <c r="O25" s="128" t="s">
        <v>92</v>
      </c>
    </row>
    <row r="26" ht="37.5" customHeight="1">
      <c r="A26" s="13"/>
      <c r="B26" s="128" t="s">
        <v>2991</v>
      </c>
      <c r="C26" s="128">
        <v>29.0</v>
      </c>
      <c r="D26" s="128" t="s">
        <v>89</v>
      </c>
      <c r="E26" s="128" t="s">
        <v>24</v>
      </c>
      <c r="F26" s="128">
        <v>49.0</v>
      </c>
      <c r="G26" s="128" t="s">
        <v>2423</v>
      </c>
      <c r="H26" s="197" t="s">
        <v>2439</v>
      </c>
      <c r="I26" s="197" t="s">
        <v>2440</v>
      </c>
      <c r="J26" s="197" t="s">
        <v>2992</v>
      </c>
      <c r="K26" s="197" t="s">
        <v>2993</v>
      </c>
      <c r="L26" s="197" t="s">
        <v>2444</v>
      </c>
      <c r="M26" s="197" t="s">
        <v>2994</v>
      </c>
      <c r="N26" s="128"/>
      <c r="O26" s="128"/>
    </row>
    <row r="27" ht="37.5" customHeight="1">
      <c r="A27" s="14"/>
      <c r="B27" s="128" t="s">
        <v>2043</v>
      </c>
      <c r="C27" s="128">
        <v>29.0</v>
      </c>
      <c r="D27" s="128" t="s">
        <v>89</v>
      </c>
      <c r="E27" s="128" t="s">
        <v>264</v>
      </c>
      <c r="F27" s="128">
        <v>49.0</v>
      </c>
      <c r="G27" s="128" t="s">
        <v>2423</v>
      </c>
      <c r="H27" s="197" t="s">
        <v>2439</v>
      </c>
      <c r="I27" s="197" t="s">
        <v>2440</v>
      </c>
      <c r="J27" s="197" t="s">
        <v>2995</v>
      </c>
      <c r="K27" s="197" t="s">
        <v>2485</v>
      </c>
      <c r="L27" s="197" t="s">
        <v>1087</v>
      </c>
      <c r="M27" s="197" t="s">
        <v>2996</v>
      </c>
      <c r="N27" s="128">
        <v>24.0</v>
      </c>
      <c r="O27" s="128" t="s">
        <v>92</v>
      </c>
    </row>
    <row r="28" ht="37.5" customHeight="1">
      <c r="A28" s="13"/>
      <c r="B28" s="128" t="s">
        <v>2997</v>
      </c>
      <c r="C28" s="128">
        <v>29.0</v>
      </c>
      <c r="D28" s="128" t="s">
        <v>65</v>
      </c>
      <c r="E28" s="128" t="s">
        <v>32</v>
      </c>
      <c r="F28" s="128">
        <v>59.0</v>
      </c>
      <c r="G28" s="128" t="s">
        <v>2423</v>
      </c>
      <c r="H28" s="197" t="s">
        <v>2439</v>
      </c>
      <c r="I28" s="197" t="s">
        <v>2440</v>
      </c>
      <c r="J28" s="197" t="s">
        <v>2998</v>
      </c>
      <c r="K28" s="197" t="s">
        <v>2999</v>
      </c>
      <c r="L28" s="197" t="s">
        <v>3000</v>
      </c>
      <c r="M28" s="197" t="s">
        <v>3001</v>
      </c>
      <c r="N28" s="128">
        <v>25.0</v>
      </c>
      <c r="O28" s="128" t="s">
        <v>92</v>
      </c>
    </row>
    <row r="29" ht="37.5" customHeight="1">
      <c r="A29" s="13"/>
      <c r="B29" s="128" t="s">
        <v>3002</v>
      </c>
      <c r="C29" s="128">
        <v>29.0</v>
      </c>
      <c r="D29" s="128" t="s">
        <v>65</v>
      </c>
      <c r="E29" s="128" t="s">
        <v>264</v>
      </c>
      <c r="F29" s="128">
        <v>48.0</v>
      </c>
      <c r="G29" s="128" t="s">
        <v>2423</v>
      </c>
      <c r="H29" s="197" t="s">
        <v>2439</v>
      </c>
      <c r="I29" s="197" t="s">
        <v>2440</v>
      </c>
      <c r="J29" s="197" t="s">
        <v>2898</v>
      </c>
      <c r="K29" s="197" t="s">
        <v>322</v>
      </c>
      <c r="L29" s="197" t="s">
        <v>307</v>
      </c>
      <c r="M29" s="197" t="s">
        <v>3003</v>
      </c>
      <c r="N29" s="128">
        <v>26.0</v>
      </c>
      <c r="O29" s="128" t="s">
        <v>92</v>
      </c>
    </row>
    <row r="30" ht="37.5" customHeight="1">
      <c r="A30" s="13"/>
      <c r="B30" s="128" t="s">
        <v>677</v>
      </c>
      <c r="C30" s="128">
        <v>29.0</v>
      </c>
      <c r="D30" s="128" t="s">
        <v>65</v>
      </c>
      <c r="E30" s="128" t="s">
        <v>30</v>
      </c>
      <c r="F30" s="128">
        <v>56.0</v>
      </c>
      <c r="G30" s="128" t="s">
        <v>2423</v>
      </c>
      <c r="H30" s="197" t="s">
        <v>2727</v>
      </c>
      <c r="I30" s="197" t="s">
        <v>2440</v>
      </c>
      <c r="J30" s="197" t="s">
        <v>3004</v>
      </c>
      <c r="K30" s="197" t="s">
        <v>3005</v>
      </c>
      <c r="L30" s="197" t="s">
        <v>2543</v>
      </c>
      <c r="M30" s="197" t="s">
        <v>3006</v>
      </c>
      <c r="N30" s="128">
        <v>27.0</v>
      </c>
      <c r="O30" s="128" t="s">
        <v>92</v>
      </c>
    </row>
    <row r="31" ht="37.5" customHeight="1">
      <c r="A31" s="13"/>
      <c r="B31" s="128" t="s">
        <v>597</v>
      </c>
      <c r="C31" s="128">
        <v>27.0</v>
      </c>
      <c r="D31" s="128" t="s">
        <v>73</v>
      </c>
      <c r="E31" s="128" t="s">
        <v>264</v>
      </c>
      <c r="F31" s="128">
        <v>49.0</v>
      </c>
      <c r="G31" s="128" t="s">
        <v>2423</v>
      </c>
      <c r="H31" s="197" t="s">
        <v>2439</v>
      </c>
      <c r="I31" s="197" t="s">
        <v>2440</v>
      </c>
      <c r="J31" s="197" t="s">
        <v>3007</v>
      </c>
      <c r="K31" s="197" t="s">
        <v>2471</v>
      </c>
      <c r="L31" s="197" t="s">
        <v>1087</v>
      </c>
      <c r="M31" s="197" t="s">
        <v>3008</v>
      </c>
      <c r="N31" s="128">
        <v>28.0</v>
      </c>
      <c r="O31" s="128" t="s">
        <v>92</v>
      </c>
    </row>
    <row r="32" ht="37.5" customHeight="1">
      <c r="A32" s="13"/>
      <c r="B32" s="128" t="s">
        <v>3009</v>
      </c>
      <c r="C32" s="128">
        <v>29.0</v>
      </c>
      <c r="D32" s="128" t="s">
        <v>89</v>
      </c>
      <c r="E32" s="128" t="s">
        <v>24</v>
      </c>
      <c r="F32" s="128">
        <v>51.0</v>
      </c>
      <c r="G32" s="128" t="s">
        <v>2423</v>
      </c>
      <c r="H32" s="197" t="s">
        <v>2439</v>
      </c>
      <c r="I32" s="197" t="s">
        <v>2440</v>
      </c>
      <c r="J32" s="197" t="s">
        <v>3010</v>
      </c>
      <c r="K32" s="197" t="s">
        <v>1653</v>
      </c>
      <c r="L32" s="197" t="s">
        <v>2486</v>
      </c>
      <c r="M32" s="197" t="s">
        <v>3011</v>
      </c>
      <c r="N32" s="128">
        <v>29.0</v>
      </c>
      <c r="O32" s="128" t="s">
        <v>120</v>
      </c>
    </row>
    <row r="33" ht="37.5" customHeight="1">
      <c r="A33" s="13"/>
      <c r="B33" s="128" t="s">
        <v>3012</v>
      </c>
      <c r="C33" s="128">
        <v>29.0</v>
      </c>
      <c r="D33" s="128" t="s">
        <v>89</v>
      </c>
      <c r="E33" s="128" t="s">
        <v>13</v>
      </c>
      <c r="F33" s="128">
        <v>60.0</v>
      </c>
      <c r="G33" s="128" t="s">
        <v>2423</v>
      </c>
      <c r="H33" s="197" t="s">
        <v>2439</v>
      </c>
      <c r="I33" s="197" t="s">
        <v>2440</v>
      </c>
      <c r="J33" s="197" t="s">
        <v>3013</v>
      </c>
      <c r="K33" s="197" t="s">
        <v>3014</v>
      </c>
      <c r="L33" s="197" t="s">
        <v>425</v>
      </c>
      <c r="M33" s="197" t="s">
        <v>3015</v>
      </c>
      <c r="N33" s="128">
        <v>30.0</v>
      </c>
      <c r="O33" s="128" t="s">
        <v>120</v>
      </c>
    </row>
    <row r="34" ht="37.5" customHeight="1">
      <c r="A34" s="13"/>
      <c r="B34" s="128" t="s">
        <v>2025</v>
      </c>
      <c r="C34" s="128">
        <v>29.0</v>
      </c>
      <c r="D34" s="128" t="s">
        <v>89</v>
      </c>
      <c r="E34" s="128" t="s">
        <v>13</v>
      </c>
      <c r="F34" s="128">
        <v>49.0</v>
      </c>
      <c r="G34" s="128" t="s">
        <v>2423</v>
      </c>
      <c r="H34" s="197" t="s">
        <v>2439</v>
      </c>
      <c r="I34" s="197" t="s">
        <v>2440</v>
      </c>
      <c r="J34" s="197" t="s">
        <v>3016</v>
      </c>
      <c r="K34" s="197" t="s">
        <v>1649</v>
      </c>
      <c r="L34" s="197" t="s">
        <v>279</v>
      </c>
      <c r="M34" s="197" t="s">
        <v>3017</v>
      </c>
      <c r="N34" s="128">
        <v>31.0</v>
      </c>
      <c r="O34" s="128" t="s">
        <v>120</v>
      </c>
    </row>
    <row r="35" ht="37.5" customHeight="1">
      <c r="A35" s="13"/>
      <c r="B35" s="128" t="s">
        <v>3018</v>
      </c>
      <c r="C35" s="128">
        <v>29.0</v>
      </c>
      <c r="D35" s="128" t="s">
        <v>83</v>
      </c>
      <c r="E35" s="128" t="s">
        <v>32</v>
      </c>
      <c r="F35" s="128">
        <v>59.0</v>
      </c>
      <c r="G35" s="128" t="s">
        <v>2423</v>
      </c>
      <c r="H35" s="197" t="s">
        <v>2439</v>
      </c>
      <c r="I35" s="197" t="s">
        <v>2440</v>
      </c>
      <c r="J35" s="197" t="s">
        <v>3019</v>
      </c>
      <c r="K35" s="197" t="s">
        <v>3020</v>
      </c>
      <c r="L35" s="197" t="s">
        <v>1527</v>
      </c>
      <c r="M35" s="197" t="s">
        <v>3021</v>
      </c>
      <c r="N35" s="128">
        <v>32.0</v>
      </c>
      <c r="O35" s="128" t="s">
        <v>120</v>
      </c>
    </row>
    <row r="36" ht="37.5" customHeight="1">
      <c r="A36" s="128"/>
      <c r="B36" s="128" t="s">
        <v>3022</v>
      </c>
      <c r="C36" s="128">
        <v>29.0</v>
      </c>
      <c r="D36" s="128" t="s">
        <v>89</v>
      </c>
      <c r="E36" s="128" t="s">
        <v>32</v>
      </c>
      <c r="F36" s="128">
        <v>52.0</v>
      </c>
      <c r="G36" s="128" t="s">
        <v>2423</v>
      </c>
      <c r="H36" s="197" t="s">
        <v>2439</v>
      </c>
      <c r="I36" s="197" t="s">
        <v>2440</v>
      </c>
      <c r="J36" s="197" t="s">
        <v>3023</v>
      </c>
      <c r="K36" s="197" t="s">
        <v>3014</v>
      </c>
      <c r="L36" s="197" t="s">
        <v>1212</v>
      </c>
      <c r="M36" s="197" t="s">
        <v>3024</v>
      </c>
      <c r="N36" s="128">
        <v>33.0</v>
      </c>
      <c r="O36" s="128" t="s">
        <v>120</v>
      </c>
    </row>
    <row r="37" ht="37.5" customHeight="1">
      <c r="A37" s="13"/>
      <c r="B37" s="128" t="s">
        <v>2027</v>
      </c>
      <c r="C37" s="128">
        <v>29.0</v>
      </c>
      <c r="D37" s="128" t="s">
        <v>73</v>
      </c>
      <c r="E37" s="128" t="s">
        <v>33</v>
      </c>
      <c r="F37" s="128">
        <v>60.0</v>
      </c>
      <c r="G37" s="128" t="s">
        <v>2423</v>
      </c>
      <c r="H37" s="197" t="s">
        <v>2439</v>
      </c>
      <c r="I37" s="197" t="s">
        <v>2440</v>
      </c>
      <c r="J37" s="197" t="s">
        <v>3025</v>
      </c>
      <c r="K37" s="197" t="s">
        <v>3026</v>
      </c>
      <c r="L37" s="197" t="s">
        <v>1514</v>
      </c>
      <c r="M37" s="197" t="s">
        <v>3027</v>
      </c>
      <c r="N37" s="128">
        <v>34.0</v>
      </c>
      <c r="O37" s="128" t="s">
        <v>120</v>
      </c>
    </row>
    <row r="38" ht="37.5" customHeight="1">
      <c r="A38" s="13"/>
      <c r="B38" s="128" t="s">
        <v>3028</v>
      </c>
      <c r="C38" s="128">
        <v>26.0</v>
      </c>
      <c r="D38" s="128" t="s">
        <v>83</v>
      </c>
      <c r="E38" s="128" t="s">
        <v>264</v>
      </c>
      <c r="F38" s="128">
        <v>40.0</v>
      </c>
      <c r="G38" s="128" t="s">
        <v>2423</v>
      </c>
      <c r="H38" s="197" t="s">
        <v>2439</v>
      </c>
      <c r="I38" s="197" t="s">
        <v>2440</v>
      </c>
      <c r="J38" s="197" t="s">
        <v>3029</v>
      </c>
      <c r="K38" s="197" t="s">
        <v>3030</v>
      </c>
      <c r="L38" s="197" t="s">
        <v>683</v>
      </c>
      <c r="M38" s="197" t="s">
        <v>3031</v>
      </c>
      <c r="N38" s="128">
        <v>35.0</v>
      </c>
      <c r="O38" s="128" t="s">
        <v>120</v>
      </c>
    </row>
    <row r="39" ht="37.5" customHeight="1">
      <c r="A39" s="13"/>
      <c r="B39" s="128" t="s">
        <v>673</v>
      </c>
      <c r="C39" s="128">
        <v>29.0</v>
      </c>
      <c r="D39" s="128" t="s">
        <v>83</v>
      </c>
      <c r="E39" s="128" t="s">
        <v>264</v>
      </c>
      <c r="F39" s="128">
        <v>40.0</v>
      </c>
      <c r="G39" s="128" t="s">
        <v>2423</v>
      </c>
      <c r="H39" s="197" t="s">
        <v>2439</v>
      </c>
      <c r="I39" s="197" t="s">
        <v>2440</v>
      </c>
      <c r="J39" s="197" t="s">
        <v>3032</v>
      </c>
      <c r="K39" s="197" t="s">
        <v>3030</v>
      </c>
      <c r="L39" s="197" t="s">
        <v>1065</v>
      </c>
      <c r="M39" s="197" t="s">
        <v>3033</v>
      </c>
      <c r="N39" s="128">
        <v>36.0</v>
      </c>
      <c r="O39" s="128" t="s">
        <v>120</v>
      </c>
    </row>
    <row r="40" ht="37.5" customHeight="1">
      <c r="A40" s="13"/>
      <c r="B40" s="128" t="s">
        <v>3034</v>
      </c>
      <c r="C40" s="128">
        <v>29.0</v>
      </c>
      <c r="D40" s="128" t="s">
        <v>73</v>
      </c>
      <c r="E40" s="128" t="s">
        <v>13</v>
      </c>
      <c r="F40" s="128">
        <v>56.0</v>
      </c>
      <c r="G40" s="128" t="s">
        <v>2423</v>
      </c>
      <c r="H40" s="197" t="s">
        <v>2439</v>
      </c>
      <c r="I40" s="197" t="s">
        <v>2440</v>
      </c>
      <c r="J40" s="197" t="s">
        <v>1007</v>
      </c>
      <c r="K40" s="197" t="s">
        <v>1584</v>
      </c>
      <c r="L40" s="197" t="s">
        <v>895</v>
      </c>
      <c r="M40" s="197" t="s">
        <v>3035</v>
      </c>
      <c r="N40" s="128">
        <v>37.0</v>
      </c>
      <c r="O40" s="128" t="s">
        <v>136</v>
      </c>
    </row>
    <row r="41" ht="37.5" customHeight="1">
      <c r="A41" s="13"/>
      <c r="B41" s="128" t="s">
        <v>3036</v>
      </c>
      <c r="C41" s="128">
        <v>29.0</v>
      </c>
      <c r="D41" s="128" t="s">
        <v>157</v>
      </c>
      <c r="E41" s="128" t="s">
        <v>24</v>
      </c>
      <c r="F41" s="128">
        <v>51.0</v>
      </c>
      <c r="G41" s="128" t="s">
        <v>2423</v>
      </c>
      <c r="H41" s="197" t="s">
        <v>2439</v>
      </c>
      <c r="I41" s="197" t="s">
        <v>2440</v>
      </c>
      <c r="J41" s="197" t="s">
        <v>3037</v>
      </c>
      <c r="K41" s="197" t="s">
        <v>986</v>
      </c>
      <c r="L41" s="197" t="s">
        <v>1530</v>
      </c>
      <c r="M41" s="197" t="s">
        <v>3038</v>
      </c>
      <c r="N41" s="128">
        <v>38.0</v>
      </c>
      <c r="O41" s="128" t="s">
        <v>136</v>
      </c>
    </row>
    <row r="42" ht="37.5" customHeight="1">
      <c r="A42" s="13"/>
      <c r="B42" s="128" t="s">
        <v>3039</v>
      </c>
      <c r="C42" s="128">
        <v>29.0</v>
      </c>
      <c r="D42" s="128" t="s">
        <v>157</v>
      </c>
      <c r="E42" s="128" t="s">
        <v>264</v>
      </c>
      <c r="F42" s="128">
        <v>60.0</v>
      </c>
      <c r="G42" s="128" t="s">
        <v>2423</v>
      </c>
      <c r="H42" s="197" t="s">
        <v>2439</v>
      </c>
      <c r="I42" s="197" t="s">
        <v>2440</v>
      </c>
      <c r="J42" s="197" t="s">
        <v>986</v>
      </c>
      <c r="K42" s="197" t="s">
        <v>3040</v>
      </c>
      <c r="L42" s="197" t="s">
        <v>1061</v>
      </c>
      <c r="M42" s="197" t="s">
        <v>3041</v>
      </c>
      <c r="N42" s="128">
        <v>39.0</v>
      </c>
      <c r="O42" s="128" t="s">
        <v>136</v>
      </c>
    </row>
    <row r="43" ht="37.5" customHeight="1">
      <c r="A43" s="13"/>
      <c r="B43" s="128" t="s">
        <v>3042</v>
      </c>
      <c r="C43" s="128">
        <v>29.0</v>
      </c>
      <c r="D43" s="128" t="s">
        <v>157</v>
      </c>
      <c r="E43" s="128" t="s">
        <v>32</v>
      </c>
      <c r="F43" s="128">
        <v>53.0</v>
      </c>
      <c r="G43" s="128" t="s">
        <v>2423</v>
      </c>
      <c r="H43" s="197" t="s">
        <v>2439</v>
      </c>
      <c r="I43" s="197" t="s">
        <v>2440</v>
      </c>
      <c r="J43" s="197" t="s">
        <v>2898</v>
      </c>
      <c r="K43" s="197" t="s">
        <v>986</v>
      </c>
      <c r="L43" s="197" t="s">
        <v>1527</v>
      </c>
      <c r="M43" s="197" t="s">
        <v>3043</v>
      </c>
      <c r="N43" s="128">
        <v>40.0</v>
      </c>
      <c r="O43" s="128" t="s">
        <v>136</v>
      </c>
    </row>
    <row r="44" ht="37.5" customHeight="1">
      <c r="A44" s="13"/>
      <c r="B44" s="128" t="s">
        <v>3044</v>
      </c>
      <c r="C44" s="128">
        <v>22.0</v>
      </c>
      <c r="D44" s="128" t="s">
        <v>157</v>
      </c>
      <c r="E44" s="128" t="s">
        <v>264</v>
      </c>
      <c r="F44" s="128">
        <v>52.0</v>
      </c>
      <c r="G44" s="128" t="s">
        <v>2423</v>
      </c>
      <c r="H44" s="197" t="s">
        <v>2439</v>
      </c>
      <c r="I44" s="197" t="s">
        <v>2440</v>
      </c>
      <c r="J44" s="197" t="s">
        <v>2606</v>
      </c>
      <c r="K44" s="197" t="s">
        <v>3045</v>
      </c>
      <c r="L44" s="197" t="s">
        <v>1087</v>
      </c>
      <c r="M44" s="197" t="s">
        <v>3046</v>
      </c>
      <c r="N44" s="128">
        <v>41.0</v>
      </c>
      <c r="O44" s="128" t="s">
        <v>136</v>
      </c>
    </row>
    <row r="45" ht="37.5" customHeight="1">
      <c r="A45" s="13"/>
      <c r="B45" s="128" t="s">
        <v>3047</v>
      </c>
      <c r="C45" s="128">
        <v>29.0</v>
      </c>
      <c r="D45" s="128" t="s">
        <v>83</v>
      </c>
      <c r="E45" s="128" t="s">
        <v>24</v>
      </c>
      <c r="F45" s="128">
        <v>46.0</v>
      </c>
      <c r="G45" s="128" t="s">
        <v>2423</v>
      </c>
      <c r="H45" s="197" t="s">
        <v>2439</v>
      </c>
      <c r="I45" s="197" t="s">
        <v>2440</v>
      </c>
      <c r="J45" s="197" t="s">
        <v>3048</v>
      </c>
      <c r="K45" s="197" t="s">
        <v>983</v>
      </c>
      <c r="L45" s="197" t="s">
        <v>2457</v>
      </c>
      <c r="M45" s="197" t="s">
        <v>3049</v>
      </c>
      <c r="N45" s="128">
        <v>42.0</v>
      </c>
      <c r="O45" s="128" t="s">
        <v>167</v>
      </c>
    </row>
    <row r="46" ht="37.5" customHeight="1">
      <c r="A46" s="13"/>
      <c r="B46" s="128" t="s">
        <v>599</v>
      </c>
      <c r="C46" s="128">
        <v>27.0</v>
      </c>
      <c r="D46" s="128" t="s">
        <v>83</v>
      </c>
      <c r="E46" s="128" t="s">
        <v>13</v>
      </c>
      <c r="F46" s="128">
        <v>57.0</v>
      </c>
      <c r="G46" s="128" t="s">
        <v>2423</v>
      </c>
      <c r="H46" s="197" t="s">
        <v>2439</v>
      </c>
      <c r="I46" s="197" t="s">
        <v>2440</v>
      </c>
      <c r="J46" s="197" t="s">
        <v>3050</v>
      </c>
      <c r="K46" s="197" t="s">
        <v>3051</v>
      </c>
      <c r="L46" s="197" t="s">
        <v>2511</v>
      </c>
      <c r="M46" s="197" t="s">
        <v>3052</v>
      </c>
      <c r="N46" s="128">
        <v>43.0</v>
      </c>
      <c r="O46" s="128" t="s">
        <v>167</v>
      </c>
    </row>
    <row r="47" ht="37.5" customHeight="1">
      <c r="A47" s="13"/>
      <c r="B47" s="128" t="s">
        <v>3053</v>
      </c>
      <c r="C47" s="128">
        <v>29.0</v>
      </c>
      <c r="D47" s="128" t="s">
        <v>83</v>
      </c>
      <c r="E47" s="128" t="s">
        <v>30</v>
      </c>
      <c r="F47" s="128">
        <v>51.0</v>
      </c>
      <c r="G47" s="128" t="s">
        <v>2423</v>
      </c>
      <c r="H47" s="197" t="s">
        <v>2727</v>
      </c>
      <c r="I47" s="197" t="s">
        <v>2440</v>
      </c>
      <c r="J47" s="197" t="s">
        <v>1647</v>
      </c>
      <c r="K47" s="197" t="s">
        <v>983</v>
      </c>
      <c r="L47" s="197" t="s">
        <v>1073</v>
      </c>
      <c r="M47" s="197" t="s">
        <v>3054</v>
      </c>
      <c r="N47" s="128">
        <v>44.0</v>
      </c>
      <c r="O47" s="128" t="s">
        <v>167</v>
      </c>
    </row>
    <row r="48" ht="37.5" customHeight="1">
      <c r="A48" s="13"/>
      <c r="B48" s="128" t="s">
        <v>3055</v>
      </c>
      <c r="C48" s="128">
        <v>29.0</v>
      </c>
      <c r="D48" s="128" t="s">
        <v>157</v>
      </c>
      <c r="E48" s="128" t="s">
        <v>13</v>
      </c>
      <c r="F48" s="128">
        <v>45.0</v>
      </c>
      <c r="G48" s="128" t="s">
        <v>2423</v>
      </c>
      <c r="H48" s="197" t="s">
        <v>2439</v>
      </c>
      <c r="I48" s="197" t="s">
        <v>2440</v>
      </c>
      <c r="J48" s="197" t="s">
        <v>3056</v>
      </c>
      <c r="K48" s="197" t="s">
        <v>986</v>
      </c>
      <c r="L48" s="197" t="s">
        <v>2624</v>
      </c>
      <c r="M48" s="197" t="s">
        <v>3057</v>
      </c>
      <c r="N48" s="128">
        <v>45.0</v>
      </c>
      <c r="O48" s="128" t="s">
        <v>167</v>
      </c>
    </row>
    <row r="49" ht="37.5" customHeight="1">
      <c r="A49" s="13"/>
      <c r="B49" s="128" t="s">
        <v>3058</v>
      </c>
      <c r="C49" s="128">
        <v>29.0</v>
      </c>
      <c r="D49" s="128" t="s">
        <v>83</v>
      </c>
      <c r="E49" s="128" t="s">
        <v>14</v>
      </c>
      <c r="F49" s="128">
        <v>50.0</v>
      </c>
      <c r="G49" s="128" t="s">
        <v>2423</v>
      </c>
      <c r="H49" s="197" t="s">
        <v>2439</v>
      </c>
      <c r="I49" s="197" t="s">
        <v>2440</v>
      </c>
      <c r="J49" s="198" t="s">
        <v>1007</v>
      </c>
      <c r="K49" s="197" t="s">
        <v>983</v>
      </c>
      <c r="L49" s="197" t="s">
        <v>1084</v>
      </c>
      <c r="M49" s="197" t="s">
        <v>3059</v>
      </c>
      <c r="N49" s="128">
        <v>46.0</v>
      </c>
      <c r="O49" s="128" t="s">
        <v>423</v>
      </c>
    </row>
    <row r="50" ht="37.5" customHeight="1">
      <c r="A50" s="13"/>
      <c r="B50" s="128" t="s">
        <v>3060</v>
      </c>
      <c r="C50" s="128">
        <v>29.0</v>
      </c>
      <c r="D50" s="128" t="s">
        <v>73</v>
      </c>
      <c r="E50" s="128" t="s">
        <v>24</v>
      </c>
      <c r="F50" s="128">
        <v>45.0</v>
      </c>
      <c r="G50" s="128" t="s">
        <v>2423</v>
      </c>
      <c r="H50" s="197" t="s">
        <v>2439</v>
      </c>
      <c r="I50" s="197" t="s">
        <v>2440</v>
      </c>
      <c r="J50" s="197" t="s">
        <v>269</v>
      </c>
      <c r="K50" s="197" t="s">
        <v>1587</v>
      </c>
      <c r="L50" s="197" t="s">
        <v>1073</v>
      </c>
      <c r="M50" s="197" t="s">
        <v>3061</v>
      </c>
      <c r="N50" s="128">
        <v>47.0</v>
      </c>
      <c r="O50" s="128" t="s">
        <v>423</v>
      </c>
    </row>
    <row r="51" ht="37.5" customHeight="1">
      <c r="A51" s="13"/>
      <c r="B51" s="128" t="s">
        <v>3062</v>
      </c>
      <c r="C51" s="128">
        <v>21.0</v>
      </c>
      <c r="D51" s="128" t="s">
        <v>73</v>
      </c>
      <c r="E51" s="128" t="s">
        <v>14</v>
      </c>
      <c r="F51" s="128">
        <v>47.0</v>
      </c>
      <c r="G51" s="128" t="s">
        <v>2597</v>
      </c>
      <c r="H51" s="197" t="s">
        <v>2439</v>
      </c>
      <c r="I51" s="197" t="s">
        <v>2440</v>
      </c>
      <c r="J51" s="197" t="s">
        <v>3063</v>
      </c>
      <c r="K51" s="197" t="s">
        <v>1587</v>
      </c>
      <c r="L51" s="197" t="s">
        <v>1069</v>
      </c>
      <c r="M51" s="197" t="s">
        <v>3064</v>
      </c>
      <c r="N51" s="128">
        <v>48.0</v>
      </c>
      <c r="O51" s="128" t="s">
        <v>423</v>
      </c>
    </row>
    <row r="52" ht="37.5" customHeight="1">
      <c r="A52" s="13"/>
      <c r="B52" s="128" t="s">
        <v>3065</v>
      </c>
      <c r="C52" s="128">
        <v>29.0</v>
      </c>
      <c r="D52" s="128" t="s">
        <v>94</v>
      </c>
      <c r="E52" s="128" t="s">
        <v>13</v>
      </c>
      <c r="F52" s="128">
        <v>52.0</v>
      </c>
      <c r="G52" s="128" t="s">
        <v>2423</v>
      </c>
      <c r="H52" s="197" t="s">
        <v>2439</v>
      </c>
      <c r="I52" s="197" t="s">
        <v>2440</v>
      </c>
      <c r="J52" s="197" t="s">
        <v>3056</v>
      </c>
      <c r="K52" s="197" t="s">
        <v>3066</v>
      </c>
      <c r="L52" s="197" t="s">
        <v>425</v>
      </c>
      <c r="M52" s="197" t="s">
        <v>3067</v>
      </c>
      <c r="N52" s="128">
        <v>49.0</v>
      </c>
      <c r="O52" s="128" t="s">
        <v>423</v>
      </c>
    </row>
    <row r="53" ht="37.5" customHeight="1">
      <c r="A53" s="13"/>
      <c r="B53" s="128" t="s">
        <v>3068</v>
      </c>
      <c r="C53" s="128">
        <v>29.0</v>
      </c>
      <c r="D53" s="128" t="s">
        <v>89</v>
      </c>
      <c r="E53" s="128" t="s">
        <v>14</v>
      </c>
      <c r="F53" s="128">
        <v>58.0</v>
      </c>
      <c r="G53" s="128" t="s">
        <v>2423</v>
      </c>
      <c r="H53" s="197" t="s">
        <v>2439</v>
      </c>
      <c r="I53" s="197" t="s">
        <v>2440</v>
      </c>
      <c r="J53" s="197" t="s">
        <v>269</v>
      </c>
      <c r="K53" s="197" t="s">
        <v>3069</v>
      </c>
      <c r="L53" s="197" t="s">
        <v>2457</v>
      </c>
      <c r="M53" s="197" t="s">
        <v>3070</v>
      </c>
      <c r="N53" s="128">
        <v>50.0</v>
      </c>
      <c r="O53" s="128" t="s">
        <v>447</v>
      </c>
    </row>
    <row r="54" ht="37.5" customHeight="1">
      <c r="A54" s="13"/>
      <c r="B54" s="128" t="s">
        <v>3071</v>
      </c>
      <c r="C54" s="128">
        <v>10.0</v>
      </c>
      <c r="D54" s="128" t="s">
        <v>65</v>
      </c>
      <c r="E54" s="128" t="s">
        <v>13</v>
      </c>
      <c r="F54" s="128">
        <v>55.0</v>
      </c>
      <c r="G54" s="128" t="s">
        <v>2597</v>
      </c>
      <c r="H54" s="197" t="s">
        <v>3072</v>
      </c>
      <c r="I54" s="197" t="s">
        <v>2440</v>
      </c>
      <c r="J54" s="197" t="s">
        <v>76</v>
      </c>
      <c r="K54" s="198" t="s">
        <v>3073</v>
      </c>
      <c r="L54" s="197" t="s">
        <v>75</v>
      </c>
      <c r="M54" s="197" t="s">
        <v>3074</v>
      </c>
      <c r="N54" s="128">
        <v>51.0</v>
      </c>
      <c r="O54" s="128" t="s">
        <v>447</v>
      </c>
    </row>
    <row r="55" ht="37.5" customHeight="1">
      <c r="A55" s="13"/>
      <c r="B55" s="128" t="s">
        <v>3075</v>
      </c>
      <c r="C55" s="128">
        <v>29.0</v>
      </c>
      <c r="D55" s="128" t="s">
        <v>65</v>
      </c>
      <c r="E55" s="128" t="s">
        <v>13</v>
      </c>
      <c r="F55" s="128">
        <v>47.0</v>
      </c>
      <c r="G55" s="128" t="s">
        <v>2423</v>
      </c>
      <c r="H55" s="197" t="s">
        <v>2439</v>
      </c>
      <c r="I55" s="197" t="s">
        <v>2440</v>
      </c>
      <c r="J55" s="197" t="s">
        <v>970</v>
      </c>
      <c r="K55" s="197" t="s">
        <v>1587</v>
      </c>
      <c r="L55" s="197" t="s">
        <v>75</v>
      </c>
      <c r="M55" s="197" t="s">
        <v>3076</v>
      </c>
      <c r="N55" s="128">
        <v>52.0</v>
      </c>
      <c r="O55" s="128" t="s">
        <v>447</v>
      </c>
    </row>
    <row r="56" ht="37.5" customHeight="1">
      <c r="A56" s="13"/>
      <c r="B56" s="128" t="s">
        <v>3077</v>
      </c>
      <c r="C56" s="128">
        <v>29.0</v>
      </c>
      <c r="D56" s="128" t="s">
        <v>65</v>
      </c>
      <c r="E56" s="128" t="s">
        <v>14</v>
      </c>
      <c r="F56" s="128">
        <v>47.0</v>
      </c>
      <c r="G56" s="128" t="s">
        <v>2423</v>
      </c>
      <c r="H56" s="197" t="s">
        <v>2439</v>
      </c>
      <c r="I56" s="197" t="s">
        <v>2440</v>
      </c>
      <c r="J56" s="197" t="s">
        <v>2606</v>
      </c>
      <c r="K56" s="197" t="s">
        <v>3078</v>
      </c>
      <c r="L56" s="197" t="s">
        <v>1515</v>
      </c>
      <c r="M56" s="197" t="s">
        <v>3079</v>
      </c>
      <c r="N56" s="128">
        <v>53.0</v>
      </c>
      <c r="O56" s="128" t="s">
        <v>447</v>
      </c>
    </row>
    <row r="57" ht="37.5" customHeight="1">
      <c r="A57" s="13"/>
      <c r="B57" s="128" t="s">
        <v>3080</v>
      </c>
      <c r="C57" s="128">
        <v>29.0</v>
      </c>
      <c r="D57" s="128" t="s">
        <v>89</v>
      </c>
      <c r="E57" s="128" t="s">
        <v>14</v>
      </c>
      <c r="F57" s="128">
        <v>53.0</v>
      </c>
      <c r="G57" s="128" t="s">
        <v>2423</v>
      </c>
      <c r="H57" s="197" t="s">
        <v>2439</v>
      </c>
      <c r="I57" s="197" t="s">
        <v>2440</v>
      </c>
      <c r="J57" s="197" t="s">
        <v>1970</v>
      </c>
      <c r="K57" s="197" t="s">
        <v>3081</v>
      </c>
      <c r="L57" s="197" t="s">
        <v>2632</v>
      </c>
      <c r="M57" s="197" t="s">
        <v>3082</v>
      </c>
      <c r="N57" s="128">
        <v>54.0</v>
      </c>
      <c r="O57" s="128" t="s">
        <v>447</v>
      </c>
    </row>
    <row r="58" ht="37.5" customHeight="1">
      <c r="A58" s="13"/>
      <c r="B58" s="128" t="s">
        <v>3083</v>
      </c>
      <c r="C58" s="128">
        <v>29.0</v>
      </c>
      <c r="D58" s="128" t="s">
        <v>94</v>
      </c>
      <c r="E58" s="128" t="s">
        <v>13</v>
      </c>
      <c r="F58" s="128">
        <v>54.0</v>
      </c>
      <c r="G58" s="128" t="s">
        <v>2423</v>
      </c>
      <c r="H58" s="197" t="s">
        <v>2439</v>
      </c>
      <c r="I58" s="197" t="s">
        <v>2440</v>
      </c>
      <c r="J58" s="197" t="s">
        <v>1007</v>
      </c>
      <c r="K58" s="197" t="s">
        <v>991</v>
      </c>
      <c r="L58" s="197" t="s">
        <v>75</v>
      </c>
      <c r="M58" s="197" t="s">
        <v>3084</v>
      </c>
      <c r="N58" s="128">
        <v>55.0</v>
      </c>
      <c r="O58" s="128" t="s">
        <v>447</v>
      </c>
    </row>
    <row r="59" ht="37.5" customHeight="1">
      <c r="A59" s="128"/>
      <c r="B59" s="128" t="s">
        <v>793</v>
      </c>
      <c r="C59" s="128">
        <v>29.0</v>
      </c>
      <c r="D59" s="128" t="s">
        <v>89</v>
      </c>
      <c r="E59" s="128" t="s">
        <v>264</v>
      </c>
      <c r="F59" s="128">
        <v>46.0</v>
      </c>
      <c r="G59" s="128" t="s">
        <v>2423</v>
      </c>
      <c r="H59" s="197" t="s">
        <v>2439</v>
      </c>
      <c r="I59" s="197" t="s">
        <v>2440</v>
      </c>
      <c r="J59" s="197" t="s">
        <v>2606</v>
      </c>
      <c r="K59" s="197" t="s">
        <v>3085</v>
      </c>
      <c r="L59" s="197" t="s">
        <v>720</v>
      </c>
      <c r="M59" s="197" t="s">
        <v>3086</v>
      </c>
      <c r="N59" s="128">
        <v>56.0</v>
      </c>
      <c r="O59" s="128" t="s">
        <v>447</v>
      </c>
    </row>
    <row r="60" ht="37.5" customHeight="1">
      <c r="A60" s="13"/>
      <c r="B60" s="128" t="s">
        <v>3087</v>
      </c>
      <c r="C60" s="128">
        <v>15.0</v>
      </c>
      <c r="D60" s="128" t="s">
        <v>89</v>
      </c>
      <c r="E60" s="128" t="s">
        <v>264</v>
      </c>
      <c r="F60" s="128">
        <v>47.0</v>
      </c>
      <c r="G60" s="128" t="s">
        <v>2597</v>
      </c>
      <c r="H60" s="197" t="s">
        <v>2439</v>
      </c>
      <c r="I60" s="197" t="s">
        <v>2440</v>
      </c>
      <c r="J60" s="197" t="s">
        <v>970</v>
      </c>
      <c r="K60" s="197" t="s">
        <v>247</v>
      </c>
      <c r="L60" s="197" t="s">
        <v>75</v>
      </c>
      <c r="M60" s="197" t="s">
        <v>3088</v>
      </c>
      <c r="N60" s="128">
        <v>57.0</v>
      </c>
      <c r="O60" s="128" t="s">
        <v>447</v>
      </c>
    </row>
    <row r="61" ht="37.5" customHeight="1">
      <c r="A61" s="13"/>
      <c r="B61" s="128" t="s">
        <v>3089</v>
      </c>
      <c r="C61" s="128">
        <v>15.0</v>
      </c>
      <c r="D61" s="128" t="s">
        <v>73</v>
      </c>
      <c r="E61" s="128" t="s">
        <v>13</v>
      </c>
      <c r="F61" s="128">
        <v>54.0</v>
      </c>
      <c r="G61" s="128" t="s">
        <v>2597</v>
      </c>
      <c r="H61" s="197" t="s">
        <v>2439</v>
      </c>
      <c r="I61" s="197" t="s">
        <v>2440</v>
      </c>
      <c r="J61" s="197" t="s">
        <v>2631</v>
      </c>
      <c r="K61" s="197" t="s">
        <v>3090</v>
      </c>
      <c r="L61" s="197" t="s">
        <v>895</v>
      </c>
      <c r="M61" s="197" t="s">
        <v>3091</v>
      </c>
      <c r="N61" s="128">
        <v>58.0</v>
      </c>
      <c r="O61" s="128" t="s">
        <v>447</v>
      </c>
    </row>
  </sheetData>
  <autoFilter ref="$A$2:$O$61">
    <sortState ref="A2:O61">
      <sortCondition ref="N2:N61"/>
      <sortCondition ref="B2:B61"/>
    </sortState>
  </autoFilter>
  <mergeCells count="3">
    <mergeCell ref="A1:B1"/>
    <mergeCell ref="H1:L1"/>
    <mergeCell ref="M1:O1"/>
  </mergeCells>
  <conditionalFormatting sqref="D3:D61">
    <cfRule type="cellIs" dxfId="19" priority="1" operator="equal">
      <formula>"Kinetic"</formula>
    </cfRule>
  </conditionalFormatting>
  <conditionalFormatting sqref="O3:O61">
    <cfRule type="cellIs" dxfId="3" priority="2" operator="equal">
      <formula>"F"</formula>
    </cfRule>
  </conditionalFormatting>
  <conditionalFormatting sqref="O3:O61">
    <cfRule type="cellIs" dxfId="4" priority="3" operator="equal">
      <formula>"E"</formula>
    </cfRule>
  </conditionalFormatting>
  <conditionalFormatting sqref="N3:O61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61">
    <cfRule type="cellIs" dxfId="13" priority="5" operator="equal">
      <formula>"Solar"</formula>
    </cfRule>
  </conditionalFormatting>
  <conditionalFormatting sqref="D3:D61">
    <cfRule type="cellIs" dxfId="20" priority="6" operator="equal">
      <formula>"Arc"</formula>
    </cfRule>
  </conditionalFormatting>
  <conditionalFormatting sqref="D3:D61">
    <cfRule type="cellIs" dxfId="21" priority="7" operator="equal">
      <formula>"Stasis"</formula>
    </cfRule>
  </conditionalFormatting>
  <conditionalFormatting sqref="D3:D61">
    <cfRule type="cellIs" dxfId="18" priority="8" operator="equal">
      <formula>"Void"</formula>
    </cfRule>
  </conditionalFormatting>
  <conditionalFormatting sqref="D3:D61">
    <cfRule type="cellIs" dxfId="17" priority="9" operator="equal">
      <formula>"Strand"</formula>
    </cfRule>
  </conditionalFormatting>
  <conditionalFormatting sqref="G3:G61">
    <cfRule type="cellIs" dxfId="17" priority="10" operator="equal">
      <formula>"Yes"</formula>
    </cfRule>
  </conditionalFormatting>
  <conditionalFormatting sqref="G3:G61">
    <cfRule type="cellIs" dxfId="2" priority="11" operator="equal">
      <formula>"No"</formula>
    </cfRule>
  </conditionalFormatting>
  <conditionalFormatting sqref="O3:O61">
    <cfRule type="cellIs" dxfId="5" priority="12" operator="equal">
      <formula>"S"</formula>
    </cfRule>
  </conditionalFormatting>
  <conditionalFormatting sqref="O3:O61">
    <cfRule type="cellIs" dxfId="6" priority="13" operator="equal">
      <formula>"B"</formula>
    </cfRule>
  </conditionalFormatting>
  <conditionalFormatting sqref="O3:O61">
    <cfRule type="cellIs" dxfId="7" priority="14" operator="equal">
      <formula>"D"</formula>
    </cfRule>
  </conditionalFormatting>
  <conditionalFormatting sqref="O3:O61">
    <cfRule type="cellIs" dxfId="8" priority="15" operator="equal">
      <formula>"C"</formula>
    </cfRule>
  </conditionalFormatting>
  <conditionalFormatting sqref="O3:O61">
    <cfRule type="cellIs" dxfId="9" priority="16" operator="equal">
      <formula>"A"</formula>
    </cfRule>
  </conditionalFormatting>
  <conditionalFormatting sqref="F3:F61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61">
    <cfRule type="expression" dxfId="12" priority="18">
      <formula>$C3=MAX($C$5:$C61)</formula>
    </cfRule>
  </conditionalFormatting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699</v>
      </c>
      <c r="C3" s="128">
        <v>29.0</v>
      </c>
      <c r="D3" s="128" t="s">
        <v>65</v>
      </c>
      <c r="E3" s="128" t="s">
        <v>14</v>
      </c>
      <c r="F3" s="128">
        <v>51.0</v>
      </c>
      <c r="G3" s="128" t="s">
        <v>2423</v>
      </c>
      <c r="H3" s="197" t="s">
        <v>2727</v>
      </c>
      <c r="I3" s="197" t="s">
        <v>2440</v>
      </c>
      <c r="J3" s="197" t="s">
        <v>3092</v>
      </c>
      <c r="K3" s="197" t="s">
        <v>3093</v>
      </c>
      <c r="L3" s="197" t="s">
        <v>714</v>
      </c>
      <c r="M3" s="197" t="s">
        <v>3094</v>
      </c>
      <c r="N3" s="128">
        <v>1.0</v>
      </c>
      <c r="O3" s="128" t="s">
        <v>71</v>
      </c>
    </row>
    <row r="4" ht="37.5" customHeight="1">
      <c r="A4" s="13"/>
      <c r="B4" s="128" t="s">
        <v>3095</v>
      </c>
      <c r="C4" s="128">
        <v>29.0</v>
      </c>
      <c r="D4" s="128" t="s">
        <v>94</v>
      </c>
      <c r="E4" s="128" t="s">
        <v>24</v>
      </c>
      <c r="F4" s="128">
        <v>51.0</v>
      </c>
      <c r="G4" s="128" t="s">
        <v>2423</v>
      </c>
      <c r="H4" s="197" t="s">
        <v>2727</v>
      </c>
      <c r="I4" s="197" t="s">
        <v>2440</v>
      </c>
      <c r="J4" s="197" t="s">
        <v>3096</v>
      </c>
      <c r="K4" s="197" t="s">
        <v>3097</v>
      </c>
      <c r="L4" s="197" t="s">
        <v>422</v>
      </c>
      <c r="M4" s="197" t="s">
        <v>3098</v>
      </c>
      <c r="N4" s="128">
        <v>2.0</v>
      </c>
      <c r="O4" s="128" t="s">
        <v>71</v>
      </c>
    </row>
    <row r="5" ht="37.5" customHeight="1">
      <c r="A5" s="13"/>
      <c r="B5" s="128" t="s">
        <v>3099</v>
      </c>
      <c r="C5" s="128">
        <v>12.0</v>
      </c>
      <c r="D5" s="128" t="s">
        <v>73</v>
      </c>
      <c r="E5" s="128" t="s">
        <v>14</v>
      </c>
      <c r="F5" s="128">
        <v>56.0</v>
      </c>
      <c r="G5" s="128" t="s">
        <v>2423</v>
      </c>
      <c r="H5" s="197" t="s">
        <v>2727</v>
      </c>
      <c r="I5" s="197" t="s">
        <v>2440</v>
      </c>
      <c r="J5" s="197" t="s">
        <v>1548</v>
      </c>
      <c r="K5" s="197" t="s">
        <v>3100</v>
      </c>
      <c r="L5" s="197" t="s">
        <v>1519</v>
      </c>
      <c r="M5" s="197" t="s">
        <v>3101</v>
      </c>
      <c r="N5" s="128">
        <v>3.0</v>
      </c>
      <c r="O5" s="128" t="s">
        <v>71</v>
      </c>
    </row>
    <row r="6" ht="37.5" customHeight="1">
      <c r="A6" s="128"/>
      <c r="B6" s="128" t="s">
        <v>482</v>
      </c>
      <c r="C6" s="128">
        <v>28.0</v>
      </c>
      <c r="D6" s="128" t="s">
        <v>65</v>
      </c>
      <c r="E6" s="128" t="s">
        <v>2165</v>
      </c>
      <c r="F6" s="128">
        <v>59.0</v>
      </c>
      <c r="G6" s="128" t="s">
        <v>2423</v>
      </c>
      <c r="H6" s="197" t="s">
        <v>2727</v>
      </c>
      <c r="I6" s="197" t="s">
        <v>2469</v>
      </c>
      <c r="J6" s="197" t="s">
        <v>3102</v>
      </c>
      <c r="K6" s="197" t="s">
        <v>3103</v>
      </c>
      <c r="L6" s="197" t="s">
        <v>2472</v>
      </c>
      <c r="M6" s="197" t="s">
        <v>3104</v>
      </c>
      <c r="N6" s="128">
        <v>4.0</v>
      </c>
      <c r="O6" s="128" t="s">
        <v>71</v>
      </c>
    </row>
    <row r="7" ht="37.5" customHeight="1">
      <c r="A7" s="13"/>
      <c r="B7" s="128" t="s">
        <v>601</v>
      </c>
      <c r="C7" s="128">
        <v>27.0</v>
      </c>
      <c r="D7" s="128" t="s">
        <v>94</v>
      </c>
      <c r="E7" s="128" t="s">
        <v>14</v>
      </c>
      <c r="F7" s="128">
        <v>50.0</v>
      </c>
      <c r="G7" s="128" t="s">
        <v>2423</v>
      </c>
      <c r="H7" s="197" t="s">
        <v>2727</v>
      </c>
      <c r="I7" s="197" t="s">
        <v>2440</v>
      </c>
      <c r="J7" s="197" t="s">
        <v>3105</v>
      </c>
      <c r="K7" s="197" t="s">
        <v>3106</v>
      </c>
      <c r="L7" s="197" t="s">
        <v>3107</v>
      </c>
      <c r="M7" s="197" t="s">
        <v>3108</v>
      </c>
      <c r="N7" s="128">
        <v>5.0</v>
      </c>
      <c r="O7" s="128" t="s">
        <v>71</v>
      </c>
    </row>
    <row r="8" ht="37.5" customHeight="1">
      <c r="A8" s="13"/>
      <c r="B8" s="128" t="s">
        <v>1416</v>
      </c>
      <c r="C8" s="128">
        <v>29.0</v>
      </c>
      <c r="D8" s="128" t="s">
        <v>94</v>
      </c>
      <c r="E8" s="128" t="s">
        <v>17</v>
      </c>
      <c r="F8" s="128">
        <v>54.0</v>
      </c>
      <c r="G8" s="128" t="s">
        <v>2423</v>
      </c>
      <c r="H8" s="197" t="s">
        <v>2727</v>
      </c>
      <c r="I8" s="197" t="s">
        <v>2440</v>
      </c>
      <c r="J8" s="197" t="s">
        <v>3109</v>
      </c>
      <c r="K8" s="197" t="s">
        <v>3110</v>
      </c>
      <c r="L8" s="197" t="s">
        <v>279</v>
      </c>
      <c r="M8" s="197" t="s">
        <v>3111</v>
      </c>
      <c r="N8" s="128">
        <v>6.0</v>
      </c>
      <c r="O8" s="128" t="s">
        <v>71</v>
      </c>
    </row>
    <row r="9" ht="37.5" customHeight="1">
      <c r="A9" s="128"/>
      <c r="B9" s="128" t="s">
        <v>3112</v>
      </c>
      <c r="C9" s="128">
        <v>29.0</v>
      </c>
      <c r="D9" s="128" t="s">
        <v>65</v>
      </c>
      <c r="E9" s="128" t="s">
        <v>17</v>
      </c>
      <c r="F9" s="128">
        <v>56.0</v>
      </c>
      <c r="G9" s="128" t="s">
        <v>2423</v>
      </c>
      <c r="H9" s="197" t="s">
        <v>2727</v>
      </c>
      <c r="I9" s="197" t="s">
        <v>2440</v>
      </c>
      <c r="J9" s="197" t="s">
        <v>2528</v>
      </c>
      <c r="K9" s="197" t="s">
        <v>3113</v>
      </c>
      <c r="L9" s="197" t="s">
        <v>2467</v>
      </c>
      <c r="M9" s="197" t="s">
        <v>3114</v>
      </c>
      <c r="N9" s="128">
        <v>7.0</v>
      </c>
      <c r="O9" s="128" t="s">
        <v>71</v>
      </c>
    </row>
    <row r="10" ht="37.5" customHeight="1">
      <c r="A10" s="13"/>
      <c r="B10" s="128" t="s">
        <v>533</v>
      </c>
      <c r="C10" s="128">
        <v>27.0</v>
      </c>
      <c r="D10" s="128" t="s">
        <v>89</v>
      </c>
      <c r="E10" s="128" t="s">
        <v>17</v>
      </c>
      <c r="F10" s="128">
        <v>48.0</v>
      </c>
      <c r="G10" s="128" t="s">
        <v>2423</v>
      </c>
      <c r="H10" s="197" t="s">
        <v>2727</v>
      </c>
      <c r="I10" s="197" t="s">
        <v>2440</v>
      </c>
      <c r="J10" s="197" t="s">
        <v>3115</v>
      </c>
      <c r="K10" s="197" t="s">
        <v>3116</v>
      </c>
      <c r="L10" s="197" t="s">
        <v>2836</v>
      </c>
      <c r="M10" s="197" t="s">
        <v>3117</v>
      </c>
      <c r="N10" s="128">
        <v>8.0</v>
      </c>
      <c r="O10" s="128" t="s">
        <v>92</v>
      </c>
    </row>
    <row r="11" ht="37.5" customHeight="1">
      <c r="A11" s="13"/>
      <c r="B11" s="128" t="s">
        <v>2052</v>
      </c>
      <c r="C11" s="128">
        <v>29.0</v>
      </c>
      <c r="D11" s="128" t="s">
        <v>89</v>
      </c>
      <c r="E11" s="128" t="s">
        <v>17</v>
      </c>
      <c r="F11" s="128">
        <v>60.0</v>
      </c>
      <c r="G11" s="128" t="s">
        <v>2423</v>
      </c>
      <c r="H11" s="197" t="s">
        <v>2727</v>
      </c>
      <c r="I11" s="197" t="s">
        <v>2440</v>
      </c>
      <c r="J11" s="197" t="s">
        <v>3118</v>
      </c>
      <c r="K11" s="197" t="s">
        <v>3119</v>
      </c>
      <c r="L11" s="197" t="s">
        <v>2779</v>
      </c>
      <c r="M11" s="197" t="s">
        <v>3120</v>
      </c>
      <c r="N11" s="128">
        <v>9.0</v>
      </c>
      <c r="O11" s="128" t="s">
        <v>92</v>
      </c>
    </row>
    <row r="12" ht="37.5" customHeight="1">
      <c r="A12" s="128"/>
      <c r="B12" s="128" t="s">
        <v>831</v>
      </c>
      <c r="C12" s="128">
        <v>29.0</v>
      </c>
      <c r="D12" s="128" t="s">
        <v>73</v>
      </c>
      <c r="E12" s="128" t="s">
        <v>17</v>
      </c>
      <c r="F12" s="128">
        <v>52.0</v>
      </c>
      <c r="G12" s="128" t="s">
        <v>2423</v>
      </c>
      <c r="H12" s="197" t="s">
        <v>2727</v>
      </c>
      <c r="I12" s="197" t="s">
        <v>2440</v>
      </c>
      <c r="J12" s="197" t="s">
        <v>3121</v>
      </c>
      <c r="K12" s="197" t="s">
        <v>3122</v>
      </c>
      <c r="L12" s="197" t="s">
        <v>718</v>
      </c>
      <c r="M12" s="197" t="s">
        <v>3123</v>
      </c>
      <c r="N12" s="128">
        <v>10.0</v>
      </c>
      <c r="O12" s="128" t="s">
        <v>92</v>
      </c>
    </row>
    <row r="13" ht="37.5" customHeight="1">
      <c r="A13" s="13"/>
      <c r="B13" s="128" t="s">
        <v>2053</v>
      </c>
      <c r="C13" s="128">
        <v>29.0</v>
      </c>
      <c r="D13" s="128" t="s">
        <v>89</v>
      </c>
      <c r="E13" s="128" t="s">
        <v>14</v>
      </c>
      <c r="F13" s="128">
        <v>48.0</v>
      </c>
      <c r="G13" s="128" t="s">
        <v>2423</v>
      </c>
      <c r="H13" s="197" t="s">
        <v>2727</v>
      </c>
      <c r="I13" s="197" t="s">
        <v>2440</v>
      </c>
      <c r="J13" s="197" t="s">
        <v>2898</v>
      </c>
      <c r="K13" s="197" t="s">
        <v>3014</v>
      </c>
      <c r="L13" s="197" t="s">
        <v>2457</v>
      </c>
      <c r="M13" s="197" t="s">
        <v>3124</v>
      </c>
      <c r="N13" s="128">
        <v>11.0</v>
      </c>
      <c r="O13" s="128" t="s">
        <v>92</v>
      </c>
    </row>
    <row r="14" ht="37.5" customHeight="1">
      <c r="A14" s="13"/>
      <c r="B14" s="128" t="s">
        <v>3125</v>
      </c>
      <c r="C14" s="128">
        <v>29.0</v>
      </c>
      <c r="D14" s="128" t="s">
        <v>89</v>
      </c>
      <c r="E14" s="128" t="s">
        <v>24</v>
      </c>
      <c r="F14" s="128">
        <v>52.0</v>
      </c>
      <c r="G14" s="128" t="s">
        <v>2423</v>
      </c>
      <c r="H14" s="197" t="s">
        <v>2727</v>
      </c>
      <c r="I14" s="197" t="s">
        <v>2440</v>
      </c>
      <c r="J14" s="197" t="s">
        <v>3126</v>
      </c>
      <c r="K14" s="197" t="s">
        <v>3127</v>
      </c>
      <c r="L14" s="197" t="s">
        <v>1511</v>
      </c>
      <c r="M14" s="197" t="s">
        <v>3128</v>
      </c>
      <c r="N14" s="128">
        <v>12.0</v>
      </c>
      <c r="O14" s="128" t="s">
        <v>92</v>
      </c>
    </row>
    <row r="15" ht="37.5" customHeight="1">
      <c r="A15" s="13"/>
      <c r="B15" s="128" t="s">
        <v>679</v>
      </c>
      <c r="C15" s="128">
        <v>26.0</v>
      </c>
      <c r="D15" s="128" t="s">
        <v>73</v>
      </c>
      <c r="E15" s="128" t="s">
        <v>24</v>
      </c>
      <c r="F15" s="128">
        <v>69.0</v>
      </c>
      <c r="G15" s="128" t="s">
        <v>2423</v>
      </c>
      <c r="H15" s="197" t="s">
        <v>2727</v>
      </c>
      <c r="I15" s="197" t="s">
        <v>2440</v>
      </c>
      <c r="J15" s="197" t="s">
        <v>3129</v>
      </c>
      <c r="K15" s="197" t="s">
        <v>3130</v>
      </c>
      <c r="L15" s="197" t="s">
        <v>895</v>
      </c>
      <c r="M15" s="197" t="s">
        <v>3131</v>
      </c>
      <c r="N15" s="128">
        <v>13.0</v>
      </c>
      <c r="O15" s="128" t="s">
        <v>92</v>
      </c>
    </row>
    <row r="16" ht="37.5" customHeight="1">
      <c r="A16" s="13"/>
      <c r="B16" s="128" t="s">
        <v>1852</v>
      </c>
      <c r="C16" s="128">
        <v>29.0</v>
      </c>
      <c r="D16" s="128" t="s">
        <v>65</v>
      </c>
      <c r="E16" s="128" t="s">
        <v>24</v>
      </c>
      <c r="F16" s="128">
        <v>49.0</v>
      </c>
      <c r="G16" s="128" t="s">
        <v>2423</v>
      </c>
      <c r="H16" s="197" t="s">
        <v>2727</v>
      </c>
      <c r="I16" s="197" t="s">
        <v>2440</v>
      </c>
      <c r="J16" s="197" t="s">
        <v>3132</v>
      </c>
      <c r="K16" s="197" t="s">
        <v>3133</v>
      </c>
      <c r="L16" s="197" t="s">
        <v>3134</v>
      </c>
      <c r="M16" s="197" t="s">
        <v>3135</v>
      </c>
      <c r="N16" s="128">
        <v>14.0</v>
      </c>
      <c r="O16" s="128" t="s">
        <v>92</v>
      </c>
    </row>
    <row r="17" ht="37.5" customHeight="1">
      <c r="A17" s="13"/>
      <c r="B17" s="128" t="s">
        <v>3136</v>
      </c>
      <c r="C17" s="128">
        <v>29.0</v>
      </c>
      <c r="D17" s="128" t="s">
        <v>83</v>
      </c>
      <c r="E17" s="128" t="s">
        <v>14</v>
      </c>
      <c r="F17" s="128">
        <v>60.0</v>
      </c>
      <c r="G17" s="128" t="s">
        <v>2423</v>
      </c>
      <c r="H17" s="197" t="s">
        <v>2727</v>
      </c>
      <c r="I17" s="197" t="s">
        <v>2440</v>
      </c>
      <c r="J17" s="197" t="s">
        <v>3137</v>
      </c>
      <c r="K17" s="197" t="s">
        <v>3138</v>
      </c>
      <c r="L17" s="197" t="s">
        <v>1503</v>
      </c>
      <c r="M17" s="197" t="s">
        <v>3139</v>
      </c>
      <c r="N17" s="128">
        <v>15.0</v>
      </c>
      <c r="O17" s="128" t="s">
        <v>92</v>
      </c>
    </row>
    <row r="18" ht="37.5" customHeight="1">
      <c r="A18" s="13"/>
      <c r="B18" s="128" t="s">
        <v>3140</v>
      </c>
      <c r="C18" s="128">
        <v>29.0</v>
      </c>
      <c r="D18" s="128" t="s">
        <v>83</v>
      </c>
      <c r="E18" s="128" t="s">
        <v>264</v>
      </c>
      <c r="F18" s="128">
        <v>50.0</v>
      </c>
      <c r="G18" s="128" t="s">
        <v>2423</v>
      </c>
      <c r="H18" s="197" t="s">
        <v>2727</v>
      </c>
      <c r="I18" s="197" t="s">
        <v>2440</v>
      </c>
      <c r="J18" s="197" t="s">
        <v>2763</v>
      </c>
      <c r="K18" s="197" t="s">
        <v>3141</v>
      </c>
      <c r="L18" s="197" t="s">
        <v>1087</v>
      </c>
      <c r="M18" s="197" t="s">
        <v>3142</v>
      </c>
      <c r="N18" s="128">
        <v>16.0</v>
      </c>
      <c r="O18" s="128" t="s">
        <v>92</v>
      </c>
    </row>
    <row r="19" ht="37.5" customHeight="1">
      <c r="A19" s="13"/>
      <c r="B19" s="128" t="s">
        <v>3143</v>
      </c>
      <c r="C19" s="128">
        <v>29.0</v>
      </c>
      <c r="D19" s="128" t="s">
        <v>89</v>
      </c>
      <c r="E19" s="128" t="s">
        <v>17</v>
      </c>
      <c r="F19" s="128">
        <v>46.0</v>
      </c>
      <c r="G19" s="128" t="s">
        <v>2423</v>
      </c>
      <c r="H19" s="197" t="s">
        <v>2727</v>
      </c>
      <c r="I19" s="197" t="s">
        <v>2440</v>
      </c>
      <c r="J19" s="197" t="s">
        <v>3144</v>
      </c>
      <c r="K19" s="197" t="s">
        <v>3127</v>
      </c>
      <c r="L19" s="197" t="s">
        <v>2457</v>
      </c>
      <c r="M19" s="197" t="s">
        <v>3145</v>
      </c>
      <c r="N19" s="128">
        <v>17.0</v>
      </c>
      <c r="O19" s="128" t="s">
        <v>120</v>
      </c>
    </row>
    <row r="20" ht="37.5" customHeight="1">
      <c r="A20" s="14"/>
      <c r="B20" s="128" t="s">
        <v>3146</v>
      </c>
      <c r="C20" s="128">
        <v>29.0</v>
      </c>
      <c r="D20" s="128" t="s">
        <v>89</v>
      </c>
      <c r="E20" s="128" t="s">
        <v>264</v>
      </c>
      <c r="F20" s="128">
        <v>56.0</v>
      </c>
      <c r="G20" s="128" t="s">
        <v>2423</v>
      </c>
      <c r="H20" s="197" t="s">
        <v>2727</v>
      </c>
      <c r="I20" s="197" t="s">
        <v>2440</v>
      </c>
      <c r="J20" s="197" t="s">
        <v>2546</v>
      </c>
      <c r="K20" s="197" t="s">
        <v>3127</v>
      </c>
      <c r="L20" s="197" t="s">
        <v>2538</v>
      </c>
      <c r="M20" s="197" t="s">
        <v>3147</v>
      </c>
      <c r="N20" s="128">
        <v>18.0</v>
      </c>
      <c r="O20" s="128" t="s">
        <v>120</v>
      </c>
    </row>
    <row r="21" ht="37.5" customHeight="1">
      <c r="A21" s="13"/>
      <c r="B21" s="128" t="s">
        <v>1418</v>
      </c>
      <c r="C21" s="128">
        <v>29.0</v>
      </c>
      <c r="D21" s="128" t="s">
        <v>73</v>
      </c>
      <c r="E21" s="128" t="s">
        <v>16</v>
      </c>
      <c r="F21" s="128">
        <v>54.0</v>
      </c>
      <c r="G21" s="128" t="s">
        <v>2423</v>
      </c>
      <c r="H21" s="197" t="s">
        <v>2727</v>
      </c>
      <c r="I21" s="197" t="s">
        <v>3148</v>
      </c>
      <c r="J21" s="197" t="s">
        <v>3149</v>
      </c>
      <c r="K21" s="197" t="s">
        <v>1584</v>
      </c>
      <c r="L21" s="197" t="s">
        <v>1077</v>
      </c>
      <c r="M21" s="197" t="s">
        <v>3150</v>
      </c>
      <c r="N21" s="128">
        <v>19.0</v>
      </c>
      <c r="O21" s="128" t="s">
        <v>120</v>
      </c>
    </row>
    <row r="22" ht="37.5" customHeight="1">
      <c r="A22" s="13"/>
      <c r="B22" s="128" t="s">
        <v>3151</v>
      </c>
      <c r="C22" s="128">
        <v>29.0</v>
      </c>
      <c r="D22" s="128" t="s">
        <v>89</v>
      </c>
      <c r="E22" s="128" t="s">
        <v>264</v>
      </c>
      <c r="F22" s="128">
        <v>53.0</v>
      </c>
      <c r="G22" s="128" t="s">
        <v>2423</v>
      </c>
      <c r="H22" s="197" t="s">
        <v>2727</v>
      </c>
      <c r="I22" s="197" t="s">
        <v>2440</v>
      </c>
      <c r="J22" s="197" t="s">
        <v>3152</v>
      </c>
      <c r="K22" s="197" t="s">
        <v>3127</v>
      </c>
      <c r="L22" s="197" t="s">
        <v>2905</v>
      </c>
      <c r="M22" s="197" t="s">
        <v>3153</v>
      </c>
      <c r="N22" s="128">
        <v>20.0</v>
      </c>
      <c r="O22" s="128" t="s">
        <v>120</v>
      </c>
    </row>
    <row r="23" ht="37.5" customHeight="1">
      <c r="A23" s="13"/>
      <c r="B23" s="128" t="s">
        <v>3154</v>
      </c>
      <c r="C23" s="128">
        <v>29.0</v>
      </c>
      <c r="D23" s="128" t="s">
        <v>94</v>
      </c>
      <c r="E23" s="128" t="s">
        <v>17</v>
      </c>
      <c r="F23" s="128">
        <v>49.0</v>
      </c>
      <c r="G23" s="128" t="s">
        <v>2423</v>
      </c>
      <c r="H23" s="197" t="s">
        <v>2727</v>
      </c>
      <c r="I23" s="197" t="s">
        <v>2440</v>
      </c>
      <c r="J23" s="197" t="s">
        <v>3155</v>
      </c>
      <c r="K23" s="197" t="s">
        <v>2889</v>
      </c>
      <c r="L23" s="197" t="s">
        <v>1072</v>
      </c>
      <c r="M23" s="197" t="s">
        <v>3156</v>
      </c>
      <c r="N23" s="128">
        <v>21.0</v>
      </c>
      <c r="O23" s="128" t="s">
        <v>120</v>
      </c>
    </row>
    <row r="24" ht="37.5" customHeight="1">
      <c r="A24" s="128"/>
      <c r="B24" s="128" t="s">
        <v>493</v>
      </c>
      <c r="C24" s="128">
        <v>28.0</v>
      </c>
      <c r="D24" s="128" t="s">
        <v>73</v>
      </c>
      <c r="E24" s="128" t="s">
        <v>17</v>
      </c>
      <c r="F24" s="128">
        <v>54.0</v>
      </c>
      <c r="G24" s="128" t="s">
        <v>2423</v>
      </c>
      <c r="H24" s="197" t="s">
        <v>2727</v>
      </c>
      <c r="I24" s="197" t="s">
        <v>2440</v>
      </c>
      <c r="J24" s="197" t="s">
        <v>3129</v>
      </c>
      <c r="K24" s="197" t="s">
        <v>3157</v>
      </c>
      <c r="L24" s="197" t="s">
        <v>2457</v>
      </c>
      <c r="M24" s="197" t="s">
        <v>3158</v>
      </c>
      <c r="N24" s="128">
        <v>22.0</v>
      </c>
      <c r="O24" s="128" t="s">
        <v>120</v>
      </c>
    </row>
    <row r="25" ht="37.5" customHeight="1">
      <c r="A25" s="13"/>
      <c r="B25" s="128" t="s">
        <v>835</v>
      </c>
      <c r="C25" s="128">
        <v>29.0</v>
      </c>
      <c r="D25" s="128" t="s">
        <v>73</v>
      </c>
      <c r="E25" s="128" t="s">
        <v>264</v>
      </c>
      <c r="F25" s="128">
        <v>50.0</v>
      </c>
      <c r="G25" s="128" t="s">
        <v>2423</v>
      </c>
      <c r="H25" s="197" t="s">
        <v>2727</v>
      </c>
      <c r="I25" s="197" t="s">
        <v>2440</v>
      </c>
      <c r="J25" s="197" t="s">
        <v>1548</v>
      </c>
      <c r="K25" s="197" t="s">
        <v>1584</v>
      </c>
      <c r="L25" s="197" t="s">
        <v>1527</v>
      </c>
      <c r="M25" s="197" t="s">
        <v>3159</v>
      </c>
      <c r="N25" s="128">
        <v>23.0</v>
      </c>
      <c r="O25" s="128" t="s">
        <v>120</v>
      </c>
    </row>
    <row r="26" ht="37.5" customHeight="1">
      <c r="A26" s="13"/>
      <c r="B26" s="128" t="s">
        <v>3160</v>
      </c>
      <c r="C26" s="128">
        <v>29.0</v>
      </c>
      <c r="D26" s="128" t="s">
        <v>89</v>
      </c>
      <c r="E26" s="128" t="s">
        <v>16</v>
      </c>
      <c r="F26" s="128">
        <v>54.0</v>
      </c>
      <c r="G26" s="128" t="s">
        <v>2423</v>
      </c>
      <c r="H26" s="197" t="s">
        <v>2727</v>
      </c>
      <c r="I26" s="197" t="s">
        <v>2440</v>
      </c>
      <c r="J26" s="197" t="s">
        <v>2546</v>
      </c>
      <c r="K26" s="197" t="s">
        <v>3161</v>
      </c>
      <c r="L26" s="197" t="s">
        <v>2543</v>
      </c>
      <c r="M26" s="197" t="s">
        <v>3162</v>
      </c>
      <c r="N26" s="128">
        <v>24.0</v>
      </c>
      <c r="O26" s="128" t="s">
        <v>120</v>
      </c>
    </row>
    <row r="27" ht="37.5" customHeight="1">
      <c r="A27" s="13"/>
      <c r="B27" s="128" t="s">
        <v>2059</v>
      </c>
      <c r="C27" s="128">
        <v>29.0</v>
      </c>
      <c r="D27" s="128" t="s">
        <v>89</v>
      </c>
      <c r="E27" s="128" t="s">
        <v>264</v>
      </c>
      <c r="F27" s="128">
        <v>55.0</v>
      </c>
      <c r="G27" s="128" t="s">
        <v>2423</v>
      </c>
      <c r="H27" s="197" t="s">
        <v>2727</v>
      </c>
      <c r="I27" s="197" t="s">
        <v>2440</v>
      </c>
      <c r="J27" s="197" t="s">
        <v>3163</v>
      </c>
      <c r="K27" s="197" t="s">
        <v>3164</v>
      </c>
      <c r="L27" s="197" t="s">
        <v>1536</v>
      </c>
      <c r="M27" s="197" t="s">
        <v>3165</v>
      </c>
      <c r="N27" s="128">
        <v>25.0</v>
      </c>
      <c r="O27" s="128" t="s">
        <v>120</v>
      </c>
    </row>
    <row r="28" ht="37.5" customHeight="1">
      <c r="A28" s="13"/>
      <c r="B28" s="128" t="s">
        <v>667</v>
      </c>
      <c r="C28" s="128">
        <v>29.0</v>
      </c>
      <c r="D28" s="128" t="s">
        <v>65</v>
      </c>
      <c r="E28" s="128" t="s">
        <v>16</v>
      </c>
      <c r="F28" s="128">
        <v>54.0</v>
      </c>
      <c r="G28" s="128" t="s">
        <v>2423</v>
      </c>
      <c r="H28" s="197" t="s">
        <v>2727</v>
      </c>
      <c r="I28" s="197" t="s">
        <v>3148</v>
      </c>
      <c r="J28" s="197" t="s">
        <v>3166</v>
      </c>
      <c r="K28" s="197" t="s">
        <v>3167</v>
      </c>
      <c r="L28" s="197" t="s">
        <v>1534</v>
      </c>
      <c r="M28" s="197" t="s">
        <v>3168</v>
      </c>
      <c r="N28" s="128">
        <v>26.0</v>
      </c>
      <c r="O28" s="128" t="s">
        <v>120</v>
      </c>
    </row>
    <row r="29" ht="37.5" customHeight="1">
      <c r="A29" s="13"/>
      <c r="B29" s="128" t="s">
        <v>605</v>
      </c>
      <c r="C29" s="128">
        <v>27.0</v>
      </c>
      <c r="D29" s="128" t="s">
        <v>65</v>
      </c>
      <c r="E29" s="128" t="s">
        <v>264</v>
      </c>
      <c r="F29" s="128">
        <v>54.0</v>
      </c>
      <c r="G29" s="128" t="s">
        <v>2423</v>
      </c>
      <c r="H29" s="197" t="s">
        <v>2727</v>
      </c>
      <c r="I29" s="197" t="s">
        <v>2440</v>
      </c>
      <c r="J29" s="197" t="s">
        <v>3169</v>
      </c>
      <c r="K29" s="197" t="s">
        <v>3170</v>
      </c>
      <c r="L29" s="197" t="s">
        <v>2511</v>
      </c>
      <c r="M29" s="197" t="s">
        <v>3171</v>
      </c>
      <c r="N29" s="128">
        <v>27.0</v>
      </c>
      <c r="O29" s="128" t="s">
        <v>120</v>
      </c>
    </row>
    <row r="30" ht="37.5" customHeight="1">
      <c r="A30" s="13"/>
      <c r="B30" s="128" t="s">
        <v>3172</v>
      </c>
      <c r="C30" s="128">
        <v>19.0</v>
      </c>
      <c r="D30" s="128" t="s">
        <v>157</v>
      </c>
      <c r="E30" s="128" t="s">
        <v>14</v>
      </c>
      <c r="F30" s="128">
        <v>49.0</v>
      </c>
      <c r="G30" s="128" t="s">
        <v>2597</v>
      </c>
      <c r="H30" s="197" t="s">
        <v>2727</v>
      </c>
      <c r="I30" s="197" t="s">
        <v>2440</v>
      </c>
      <c r="J30" s="197" t="s">
        <v>2898</v>
      </c>
      <c r="K30" s="197" t="s">
        <v>986</v>
      </c>
      <c r="L30" s="197" t="s">
        <v>2600</v>
      </c>
      <c r="M30" s="197" t="s">
        <v>3173</v>
      </c>
      <c r="N30" s="128">
        <v>28.0</v>
      </c>
      <c r="O30" s="128" t="s">
        <v>120</v>
      </c>
    </row>
    <row r="31" ht="37.5" customHeight="1">
      <c r="A31" s="13"/>
      <c r="B31" s="128" t="s">
        <v>3174</v>
      </c>
      <c r="C31" s="128">
        <v>29.0</v>
      </c>
      <c r="D31" s="128" t="s">
        <v>157</v>
      </c>
      <c r="E31" s="128" t="s">
        <v>24</v>
      </c>
      <c r="F31" s="128">
        <v>53.0</v>
      </c>
      <c r="G31" s="128" t="s">
        <v>2423</v>
      </c>
      <c r="H31" s="197" t="s">
        <v>2727</v>
      </c>
      <c r="I31" s="197" t="s">
        <v>2440</v>
      </c>
      <c r="J31" s="198" t="s">
        <v>3175</v>
      </c>
      <c r="K31" s="197" t="s">
        <v>2859</v>
      </c>
      <c r="L31" s="197" t="s">
        <v>1067</v>
      </c>
      <c r="M31" s="197" t="s">
        <v>3176</v>
      </c>
      <c r="N31" s="128">
        <v>29.0</v>
      </c>
      <c r="O31" s="128" t="s">
        <v>120</v>
      </c>
    </row>
    <row r="32" ht="37.5" customHeight="1">
      <c r="A32" s="13"/>
      <c r="B32" s="128" t="s">
        <v>603</v>
      </c>
      <c r="C32" s="128">
        <v>27.0</v>
      </c>
      <c r="D32" s="128" t="s">
        <v>157</v>
      </c>
      <c r="E32" s="128" t="s">
        <v>264</v>
      </c>
      <c r="F32" s="128">
        <v>55.0</v>
      </c>
      <c r="G32" s="128" t="s">
        <v>2423</v>
      </c>
      <c r="H32" s="197" t="s">
        <v>2727</v>
      </c>
      <c r="I32" s="197" t="s">
        <v>2440</v>
      </c>
      <c r="J32" s="197" t="s">
        <v>3177</v>
      </c>
      <c r="K32" s="197" t="s">
        <v>2859</v>
      </c>
      <c r="L32" s="197" t="s">
        <v>1209</v>
      </c>
      <c r="M32" s="197" t="s">
        <v>3178</v>
      </c>
      <c r="N32" s="128">
        <v>30.0</v>
      </c>
      <c r="O32" s="128" t="s">
        <v>120</v>
      </c>
    </row>
    <row r="33" ht="37.5" customHeight="1">
      <c r="A33" s="13"/>
      <c r="B33" s="128" t="s">
        <v>3179</v>
      </c>
      <c r="C33" s="128">
        <v>29.0</v>
      </c>
      <c r="D33" s="128" t="s">
        <v>94</v>
      </c>
      <c r="E33" s="128" t="s">
        <v>264</v>
      </c>
      <c r="F33" s="128">
        <v>48.0</v>
      </c>
      <c r="G33" s="128" t="s">
        <v>2423</v>
      </c>
      <c r="H33" s="197" t="s">
        <v>2727</v>
      </c>
      <c r="I33" s="197" t="s">
        <v>2440</v>
      </c>
      <c r="J33" s="198" t="s">
        <v>2740</v>
      </c>
      <c r="K33" s="197" t="s">
        <v>3180</v>
      </c>
      <c r="L33" s="197" t="s">
        <v>1075</v>
      </c>
      <c r="M33" s="197" t="s">
        <v>3181</v>
      </c>
      <c r="N33" s="128">
        <v>31.0</v>
      </c>
      <c r="O33" s="128" t="s">
        <v>120</v>
      </c>
    </row>
    <row r="34" ht="37.5" customHeight="1">
      <c r="A34" s="13"/>
      <c r="B34" s="128" t="s">
        <v>3182</v>
      </c>
      <c r="C34" s="128">
        <v>23.0</v>
      </c>
      <c r="D34" s="128" t="s">
        <v>157</v>
      </c>
      <c r="E34" s="128" t="s">
        <v>16</v>
      </c>
      <c r="F34" s="128">
        <v>60.0</v>
      </c>
      <c r="G34" s="128" t="s">
        <v>2423</v>
      </c>
      <c r="H34" s="197" t="s">
        <v>2727</v>
      </c>
      <c r="I34" s="197" t="s">
        <v>3148</v>
      </c>
      <c r="J34" s="198" t="s">
        <v>3183</v>
      </c>
      <c r="K34" s="197" t="s">
        <v>2859</v>
      </c>
      <c r="L34" s="197" t="s">
        <v>1534</v>
      </c>
      <c r="M34" s="197" t="s">
        <v>3184</v>
      </c>
      <c r="N34" s="128">
        <v>32.0</v>
      </c>
      <c r="O34" s="128" t="s">
        <v>120</v>
      </c>
    </row>
    <row r="35" ht="37.5" customHeight="1">
      <c r="A35" s="13"/>
      <c r="B35" s="128" t="s">
        <v>3185</v>
      </c>
      <c r="C35" s="128">
        <v>16.0</v>
      </c>
      <c r="D35" s="128" t="s">
        <v>157</v>
      </c>
      <c r="E35" s="128" t="s">
        <v>264</v>
      </c>
      <c r="F35" s="128">
        <v>45.0</v>
      </c>
      <c r="G35" s="128" t="s">
        <v>2597</v>
      </c>
      <c r="H35" s="197" t="s">
        <v>2727</v>
      </c>
      <c r="I35" s="197" t="s">
        <v>2440</v>
      </c>
      <c r="J35" s="197" t="s">
        <v>3144</v>
      </c>
      <c r="K35" s="197" t="s">
        <v>2859</v>
      </c>
      <c r="L35" s="197" t="s">
        <v>1527</v>
      </c>
      <c r="M35" s="197" t="s">
        <v>3186</v>
      </c>
      <c r="N35" s="128">
        <v>33.0</v>
      </c>
      <c r="O35" s="128" t="s">
        <v>120</v>
      </c>
    </row>
    <row r="36" ht="37.5" customHeight="1">
      <c r="A36" s="13"/>
      <c r="B36" s="128" t="s">
        <v>3187</v>
      </c>
      <c r="C36" s="128">
        <v>17.0</v>
      </c>
      <c r="D36" s="128" t="s">
        <v>73</v>
      </c>
      <c r="E36" s="128" t="s">
        <v>17</v>
      </c>
      <c r="F36" s="128">
        <v>54.0</v>
      </c>
      <c r="G36" s="128" t="s">
        <v>2597</v>
      </c>
      <c r="H36" s="197" t="s">
        <v>2727</v>
      </c>
      <c r="I36" s="197" t="s">
        <v>2440</v>
      </c>
      <c r="J36" s="197" t="s">
        <v>3188</v>
      </c>
      <c r="K36" s="197" t="s">
        <v>2806</v>
      </c>
      <c r="L36" s="197" t="s">
        <v>2624</v>
      </c>
      <c r="M36" s="197" t="s">
        <v>3189</v>
      </c>
      <c r="N36" s="128">
        <v>34.0</v>
      </c>
      <c r="O36" s="128" t="s">
        <v>136</v>
      </c>
    </row>
    <row r="37" ht="37.5" customHeight="1">
      <c r="A37" s="128"/>
      <c r="B37" s="128" t="s">
        <v>3190</v>
      </c>
      <c r="C37" s="128">
        <v>29.0</v>
      </c>
      <c r="D37" s="128" t="s">
        <v>157</v>
      </c>
      <c r="E37" s="128" t="s">
        <v>17</v>
      </c>
      <c r="F37" s="128">
        <v>49.0</v>
      </c>
      <c r="G37" s="128" t="s">
        <v>2423</v>
      </c>
      <c r="H37" s="197" t="s">
        <v>2727</v>
      </c>
      <c r="I37" s="197" t="s">
        <v>2440</v>
      </c>
      <c r="J37" s="197" t="s">
        <v>3191</v>
      </c>
      <c r="K37" s="197" t="s">
        <v>3192</v>
      </c>
      <c r="L37" s="197" t="s">
        <v>2628</v>
      </c>
      <c r="M37" s="197" t="s">
        <v>3193</v>
      </c>
      <c r="N37" s="128">
        <v>35.0</v>
      </c>
      <c r="O37" s="128" t="s">
        <v>136</v>
      </c>
    </row>
    <row r="38" ht="37.5" customHeight="1">
      <c r="A38" s="13"/>
      <c r="B38" s="128" t="s">
        <v>3194</v>
      </c>
      <c r="C38" s="128">
        <v>26.0</v>
      </c>
      <c r="D38" s="128" t="s">
        <v>65</v>
      </c>
      <c r="E38" s="128" t="s">
        <v>16</v>
      </c>
      <c r="F38" s="128">
        <v>54.0</v>
      </c>
      <c r="G38" s="128" t="s">
        <v>2423</v>
      </c>
      <c r="H38" s="197" t="s">
        <v>2727</v>
      </c>
      <c r="I38" s="197" t="s">
        <v>3148</v>
      </c>
      <c r="J38" s="197" t="s">
        <v>3195</v>
      </c>
      <c r="K38" s="197" t="s">
        <v>3196</v>
      </c>
      <c r="L38" s="197" t="s">
        <v>683</v>
      </c>
      <c r="M38" s="197" t="s">
        <v>3197</v>
      </c>
      <c r="N38" s="128">
        <v>36.0</v>
      </c>
      <c r="O38" s="128" t="s">
        <v>136</v>
      </c>
    </row>
    <row r="39" ht="37.5" customHeight="1">
      <c r="A39" s="13"/>
      <c r="B39" s="128" t="s">
        <v>743</v>
      </c>
      <c r="C39" s="128">
        <v>29.0</v>
      </c>
      <c r="D39" s="128" t="s">
        <v>83</v>
      </c>
      <c r="E39" s="128" t="s">
        <v>24</v>
      </c>
      <c r="F39" s="128">
        <v>51.0</v>
      </c>
      <c r="G39" s="128" t="s">
        <v>2423</v>
      </c>
      <c r="H39" s="197" t="s">
        <v>2727</v>
      </c>
      <c r="I39" s="197" t="s">
        <v>2440</v>
      </c>
      <c r="J39" s="197" t="s">
        <v>2606</v>
      </c>
      <c r="K39" s="197" t="s">
        <v>2855</v>
      </c>
      <c r="L39" s="197" t="s">
        <v>3198</v>
      </c>
      <c r="M39" s="197" t="s">
        <v>3199</v>
      </c>
      <c r="N39" s="128">
        <v>37.0</v>
      </c>
      <c r="O39" s="128" t="s">
        <v>136</v>
      </c>
    </row>
    <row r="40" ht="37.5" customHeight="1">
      <c r="A40" s="13"/>
      <c r="B40" s="128" t="s">
        <v>2051</v>
      </c>
      <c r="C40" s="128">
        <v>29.0</v>
      </c>
      <c r="D40" s="128" t="s">
        <v>89</v>
      </c>
      <c r="E40" s="128" t="s">
        <v>24</v>
      </c>
      <c r="F40" s="128">
        <v>49.0</v>
      </c>
      <c r="G40" s="128" t="s">
        <v>2423</v>
      </c>
      <c r="H40" s="197" t="s">
        <v>2727</v>
      </c>
      <c r="I40" s="197" t="s">
        <v>2440</v>
      </c>
      <c r="J40" s="197" t="s">
        <v>2898</v>
      </c>
      <c r="K40" s="197" t="s">
        <v>968</v>
      </c>
      <c r="L40" s="197" t="s">
        <v>425</v>
      </c>
      <c r="M40" s="197" t="s">
        <v>3200</v>
      </c>
      <c r="N40" s="128">
        <v>38.0</v>
      </c>
      <c r="O40" s="128" t="s">
        <v>136</v>
      </c>
    </row>
    <row r="41" ht="37.5" customHeight="1">
      <c r="A41" s="13"/>
      <c r="B41" s="128" t="s">
        <v>3201</v>
      </c>
      <c r="C41" s="128">
        <v>29.0</v>
      </c>
      <c r="D41" s="128" t="s">
        <v>89</v>
      </c>
      <c r="E41" s="128" t="s">
        <v>17</v>
      </c>
      <c r="F41" s="128">
        <v>53.0</v>
      </c>
      <c r="G41" s="128" t="s">
        <v>2423</v>
      </c>
      <c r="H41" s="197" t="s">
        <v>2727</v>
      </c>
      <c r="I41" s="197" t="s">
        <v>2440</v>
      </c>
      <c r="J41" s="197" t="s">
        <v>3202</v>
      </c>
      <c r="K41" s="197" t="s">
        <v>968</v>
      </c>
      <c r="L41" s="197" t="s">
        <v>2645</v>
      </c>
      <c r="M41" s="197" t="s">
        <v>3203</v>
      </c>
      <c r="N41" s="128">
        <v>39.0</v>
      </c>
      <c r="O41" s="128" t="s">
        <v>167</v>
      </c>
    </row>
    <row r="42" ht="37.5" customHeight="1">
      <c r="A42" s="13"/>
      <c r="B42" s="128" t="s">
        <v>3204</v>
      </c>
      <c r="C42" s="128">
        <v>15.0</v>
      </c>
      <c r="D42" s="128" t="s">
        <v>89</v>
      </c>
      <c r="E42" s="128" t="s">
        <v>14</v>
      </c>
      <c r="F42" s="128">
        <v>50.0</v>
      </c>
      <c r="G42" s="128" t="s">
        <v>2597</v>
      </c>
      <c r="H42" s="197" t="s">
        <v>2727</v>
      </c>
      <c r="I42" s="197" t="s">
        <v>2440</v>
      </c>
      <c r="J42" s="198" t="s">
        <v>3205</v>
      </c>
      <c r="K42" s="197" t="s">
        <v>247</v>
      </c>
      <c r="L42" s="197" t="s">
        <v>2628</v>
      </c>
      <c r="M42" s="197" t="s">
        <v>3206</v>
      </c>
      <c r="N42" s="128">
        <v>40.0</v>
      </c>
      <c r="O42" s="128" t="s">
        <v>167</v>
      </c>
    </row>
    <row r="43" ht="37.5" customHeight="1">
      <c r="A43" s="13"/>
      <c r="B43" s="128" t="s">
        <v>3207</v>
      </c>
      <c r="C43" s="128">
        <v>24.0</v>
      </c>
      <c r="D43" s="128" t="s">
        <v>83</v>
      </c>
      <c r="E43" s="128" t="s">
        <v>264</v>
      </c>
      <c r="F43" s="128">
        <v>40.0</v>
      </c>
      <c r="G43" s="128" t="s">
        <v>2423</v>
      </c>
      <c r="H43" s="197" t="s">
        <v>2727</v>
      </c>
      <c r="I43" s="197" t="s">
        <v>2440</v>
      </c>
      <c r="J43" s="197" t="s">
        <v>3208</v>
      </c>
      <c r="K43" s="197" t="s">
        <v>983</v>
      </c>
      <c r="L43" s="197" t="s">
        <v>895</v>
      </c>
      <c r="M43" s="197" t="s">
        <v>3209</v>
      </c>
      <c r="N43" s="128">
        <v>41.0</v>
      </c>
      <c r="O43" s="128" t="s">
        <v>167</v>
      </c>
    </row>
    <row r="44" ht="37.5" customHeight="1">
      <c r="A44" s="13"/>
      <c r="B44" s="128" t="s">
        <v>3210</v>
      </c>
      <c r="C44" s="128">
        <v>29.0</v>
      </c>
      <c r="D44" s="128" t="s">
        <v>83</v>
      </c>
      <c r="E44" s="128" t="s">
        <v>17</v>
      </c>
      <c r="F44" s="128">
        <v>50.0</v>
      </c>
      <c r="G44" s="128" t="s">
        <v>2423</v>
      </c>
      <c r="H44" s="197" t="s">
        <v>2727</v>
      </c>
      <c r="I44" s="197" t="s">
        <v>2440</v>
      </c>
      <c r="J44" s="197" t="s">
        <v>3211</v>
      </c>
      <c r="K44" s="197" t="s">
        <v>983</v>
      </c>
      <c r="L44" s="197" t="s">
        <v>2624</v>
      </c>
      <c r="M44" s="197" t="s">
        <v>3212</v>
      </c>
      <c r="N44" s="128">
        <v>42.0</v>
      </c>
      <c r="O44" s="128" t="s">
        <v>167</v>
      </c>
    </row>
    <row r="45" ht="37.5" customHeight="1">
      <c r="A45" s="13"/>
      <c r="B45" s="128" t="s">
        <v>3213</v>
      </c>
      <c r="C45" s="128">
        <v>4.0</v>
      </c>
      <c r="D45" s="128" t="s">
        <v>89</v>
      </c>
      <c r="E45" s="128" t="s">
        <v>264</v>
      </c>
      <c r="F45" s="128">
        <v>59.0</v>
      </c>
      <c r="G45" s="128" t="s">
        <v>2597</v>
      </c>
      <c r="H45" s="197" t="s">
        <v>2727</v>
      </c>
      <c r="I45" s="197" t="s">
        <v>2440</v>
      </c>
      <c r="J45" s="197" t="s">
        <v>1007</v>
      </c>
      <c r="K45" s="197" t="s">
        <v>968</v>
      </c>
      <c r="L45" s="197" t="s">
        <v>75</v>
      </c>
      <c r="M45" s="197" t="s">
        <v>3214</v>
      </c>
      <c r="N45" s="128">
        <v>43.0</v>
      </c>
      <c r="O45" s="128" t="s">
        <v>423</v>
      </c>
    </row>
    <row r="46" ht="37.5" customHeight="1">
      <c r="A46" s="13"/>
      <c r="B46" s="128" t="s">
        <v>3215</v>
      </c>
      <c r="C46" s="128">
        <v>15.0</v>
      </c>
      <c r="D46" s="128" t="s">
        <v>65</v>
      </c>
      <c r="E46" s="128" t="s">
        <v>14</v>
      </c>
      <c r="F46" s="128">
        <v>50.0</v>
      </c>
      <c r="G46" s="128" t="s">
        <v>2597</v>
      </c>
      <c r="H46" s="197" t="s">
        <v>2727</v>
      </c>
      <c r="I46" s="197" t="s">
        <v>2440</v>
      </c>
      <c r="J46" s="197" t="s">
        <v>1007</v>
      </c>
      <c r="K46" s="197" t="s">
        <v>247</v>
      </c>
      <c r="L46" s="197" t="s">
        <v>75</v>
      </c>
      <c r="M46" s="197" t="s">
        <v>3216</v>
      </c>
      <c r="N46" s="128">
        <v>44.0</v>
      </c>
      <c r="O46" s="128" t="s">
        <v>423</v>
      </c>
    </row>
    <row r="47" ht="37.5" customHeight="1">
      <c r="A47" s="13"/>
      <c r="B47" s="128" t="s">
        <v>3217</v>
      </c>
      <c r="C47" s="128">
        <v>12.0</v>
      </c>
      <c r="D47" s="128" t="s">
        <v>94</v>
      </c>
      <c r="E47" s="128" t="s">
        <v>17</v>
      </c>
      <c r="F47" s="128">
        <v>48.0</v>
      </c>
      <c r="G47" s="128" t="s">
        <v>2597</v>
      </c>
      <c r="H47" s="197" t="s">
        <v>2727</v>
      </c>
      <c r="I47" s="197" t="s">
        <v>2440</v>
      </c>
      <c r="J47" s="197" t="s">
        <v>3218</v>
      </c>
      <c r="K47" s="197" t="s">
        <v>1587</v>
      </c>
      <c r="L47" s="197" t="s">
        <v>75</v>
      </c>
      <c r="M47" s="197" t="s">
        <v>3219</v>
      </c>
      <c r="N47" s="128">
        <v>45.0</v>
      </c>
      <c r="O47" s="128" t="s">
        <v>423</v>
      </c>
    </row>
    <row r="48" ht="37.5" customHeight="1">
      <c r="A48" s="13"/>
      <c r="B48" s="128" t="s">
        <v>3220</v>
      </c>
      <c r="C48" s="128">
        <v>13.0</v>
      </c>
      <c r="D48" s="128" t="s">
        <v>65</v>
      </c>
      <c r="E48" s="128" t="s">
        <v>24</v>
      </c>
      <c r="F48" s="128">
        <v>46.0</v>
      </c>
      <c r="G48" s="128" t="s">
        <v>2597</v>
      </c>
      <c r="H48" s="197" t="s">
        <v>3221</v>
      </c>
      <c r="I48" s="197" t="s">
        <v>2440</v>
      </c>
      <c r="J48" s="197" t="s">
        <v>2898</v>
      </c>
      <c r="K48" s="197" t="s">
        <v>991</v>
      </c>
      <c r="L48" s="197" t="s">
        <v>75</v>
      </c>
      <c r="M48" s="197" t="s">
        <v>3222</v>
      </c>
      <c r="N48" s="128">
        <v>46.0</v>
      </c>
      <c r="O48" s="128" t="s">
        <v>423</v>
      </c>
    </row>
    <row r="49" ht="37.5" customHeight="1">
      <c r="A49" s="13"/>
      <c r="B49" s="128" t="s">
        <v>3223</v>
      </c>
      <c r="C49" s="128">
        <v>24.0</v>
      </c>
      <c r="D49" s="128" t="s">
        <v>65</v>
      </c>
      <c r="E49" s="128" t="s">
        <v>17</v>
      </c>
      <c r="F49" s="128">
        <v>51.0</v>
      </c>
      <c r="G49" s="128" t="s">
        <v>2423</v>
      </c>
      <c r="H49" s="197" t="s">
        <v>2727</v>
      </c>
      <c r="I49" s="197" t="s">
        <v>2440</v>
      </c>
      <c r="J49" s="197" t="s">
        <v>957</v>
      </c>
      <c r="K49" s="197" t="s">
        <v>247</v>
      </c>
      <c r="L49" s="197" t="s">
        <v>2624</v>
      </c>
      <c r="M49" s="197" t="s">
        <v>3224</v>
      </c>
      <c r="N49" s="128">
        <v>47.0</v>
      </c>
      <c r="O49" s="128" t="s">
        <v>423</v>
      </c>
    </row>
    <row r="50" ht="37.5" customHeight="1">
      <c r="A50" s="13"/>
      <c r="B50" s="128" t="s">
        <v>3225</v>
      </c>
      <c r="C50" s="128">
        <v>14.0</v>
      </c>
      <c r="D50" s="128" t="s">
        <v>73</v>
      </c>
      <c r="E50" s="128" t="s">
        <v>24</v>
      </c>
      <c r="F50" s="128">
        <v>53.0</v>
      </c>
      <c r="G50" s="128" t="s">
        <v>2597</v>
      </c>
      <c r="H50" s="197" t="s">
        <v>2727</v>
      </c>
      <c r="I50" s="197" t="s">
        <v>2440</v>
      </c>
      <c r="J50" s="197" t="s">
        <v>1007</v>
      </c>
      <c r="K50" s="197" t="s">
        <v>3226</v>
      </c>
      <c r="L50" s="197" t="s">
        <v>75</v>
      </c>
      <c r="M50" s="197" t="s">
        <v>3227</v>
      </c>
      <c r="N50" s="128">
        <v>48.0</v>
      </c>
      <c r="O50" s="128" t="s">
        <v>447</v>
      </c>
    </row>
  </sheetData>
  <autoFilter ref="$A$2:$O$50">
    <sortState ref="A2:O50">
      <sortCondition ref="N2:N50"/>
      <sortCondition ref="B2:B50"/>
    </sortState>
  </autoFilter>
  <mergeCells count="4">
    <mergeCell ref="A1:B1"/>
    <mergeCell ref="C1:G1"/>
    <mergeCell ref="H1:L1"/>
    <mergeCell ref="M1:O1"/>
  </mergeCells>
  <conditionalFormatting sqref="D3:D50">
    <cfRule type="cellIs" dxfId="19" priority="1" operator="equal">
      <formula>"Kinetic"</formula>
    </cfRule>
  </conditionalFormatting>
  <conditionalFormatting sqref="O3:O50">
    <cfRule type="cellIs" dxfId="3" priority="2" operator="equal">
      <formula>"F"</formula>
    </cfRule>
  </conditionalFormatting>
  <conditionalFormatting sqref="O3:O50">
    <cfRule type="cellIs" dxfId="4" priority="3" operator="equal">
      <formula>"E"</formula>
    </cfRule>
  </conditionalFormatting>
  <conditionalFormatting sqref="N3:O5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50">
    <cfRule type="cellIs" dxfId="13" priority="5" operator="equal">
      <formula>"Solar"</formula>
    </cfRule>
  </conditionalFormatting>
  <conditionalFormatting sqref="D3:D50">
    <cfRule type="cellIs" dxfId="20" priority="6" operator="equal">
      <formula>"Arc"</formula>
    </cfRule>
  </conditionalFormatting>
  <conditionalFormatting sqref="D3:D50">
    <cfRule type="cellIs" dxfId="21" priority="7" operator="equal">
      <formula>"Stasis"</formula>
    </cfRule>
  </conditionalFormatting>
  <conditionalFormatting sqref="D3:D50">
    <cfRule type="cellIs" dxfId="18" priority="8" operator="equal">
      <formula>"Void"</formula>
    </cfRule>
  </conditionalFormatting>
  <conditionalFormatting sqref="D3:D50">
    <cfRule type="cellIs" dxfId="17" priority="9" operator="equal">
      <formula>"Strand"</formula>
    </cfRule>
  </conditionalFormatting>
  <conditionalFormatting sqref="G3:G50">
    <cfRule type="cellIs" dxfId="17" priority="10" operator="equal">
      <formula>"Yes"</formula>
    </cfRule>
  </conditionalFormatting>
  <conditionalFormatting sqref="G3:G50">
    <cfRule type="cellIs" dxfId="2" priority="11" operator="equal">
      <formula>"No"</formula>
    </cfRule>
  </conditionalFormatting>
  <conditionalFormatting sqref="O3:O50">
    <cfRule type="cellIs" dxfId="5" priority="12" operator="equal">
      <formula>"S"</formula>
    </cfRule>
  </conditionalFormatting>
  <conditionalFormatting sqref="O3:O50">
    <cfRule type="cellIs" dxfId="6" priority="13" operator="equal">
      <formula>"B"</formula>
    </cfRule>
  </conditionalFormatting>
  <conditionalFormatting sqref="O3:O50">
    <cfRule type="cellIs" dxfId="7" priority="14" operator="equal">
      <formula>"D"</formula>
    </cfRule>
  </conditionalFormatting>
  <conditionalFormatting sqref="O3:O50">
    <cfRule type="cellIs" dxfId="8" priority="15" operator="equal">
      <formula>"C"</formula>
    </cfRule>
  </conditionalFormatting>
  <conditionalFormatting sqref="O3:O50">
    <cfRule type="cellIs" dxfId="9" priority="16" operator="equal">
      <formula>"A"</formula>
    </cfRule>
  </conditionalFormatting>
  <conditionalFormatting sqref="F3:F50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50">
    <cfRule type="expression" dxfId="12" priority="18">
      <formula>$C3=MAX($C$3:$C50)</formula>
    </cfRule>
  </conditionalFormatting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451</v>
      </c>
      <c r="C3" s="128">
        <v>28.0</v>
      </c>
      <c r="D3" s="128" t="s">
        <v>73</v>
      </c>
      <c r="E3" s="128" t="s">
        <v>2042</v>
      </c>
      <c r="F3" s="128">
        <v>47.0</v>
      </c>
      <c r="G3" s="128" t="s">
        <v>2423</v>
      </c>
      <c r="H3" s="197" t="s">
        <v>2439</v>
      </c>
      <c r="I3" s="197" t="s">
        <v>2440</v>
      </c>
      <c r="J3" s="197" t="s">
        <v>1797</v>
      </c>
      <c r="K3" s="197" t="s">
        <v>3228</v>
      </c>
      <c r="L3" s="197" t="s">
        <v>2457</v>
      </c>
      <c r="M3" s="197" t="s">
        <v>3229</v>
      </c>
      <c r="N3" s="128">
        <v>1.0</v>
      </c>
      <c r="O3" s="128" t="s">
        <v>71</v>
      </c>
    </row>
    <row r="4" ht="37.5" customHeight="1">
      <c r="A4" s="13"/>
      <c r="B4" s="128" t="s">
        <v>3230</v>
      </c>
      <c r="C4" s="128">
        <v>29.0</v>
      </c>
      <c r="D4" s="128" t="s">
        <v>73</v>
      </c>
      <c r="E4" s="128" t="s">
        <v>14</v>
      </c>
      <c r="F4" s="128">
        <v>65.0</v>
      </c>
      <c r="G4" s="128" t="s">
        <v>2423</v>
      </c>
      <c r="H4" s="197" t="s">
        <v>2439</v>
      </c>
      <c r="I4" s="197" t="s">
        <v>2440</v>
      </c>
      <c r="J4" s="197" t="s">
        <v>1548</v>
      </c>
      <c r="K4" s="197" t="s">
        <v>3231</v>
      </c>
      <c r="L4" s="197" t="s">
        <v>2457</v>
      </c>
      <c r="M4" s="197" t="s">
        <v>3232</v>
      </c>
      <c r="N4" s="128">
        <v>2.0</v>
      </c>
      <c r="O4" s="128" t="s">
        <v>71</v>
      </c>
    </row>
    <row r="5" ht="37.5" customHeight="1">
      <c r="A5" s="13"/>
      <c r="B5" s="128" t="s">
        <v>525</v>
      </c>
      <c r="C5" s="128">
        <v>27.0</v>
      </c>
      <c r="D5" s="128" t="s">
        <v>73</v>
      </c>
      <c r="E5" s="128" t="s">
        <v>3233</v>
      </c>
      <c r="F5" s="128">
        <v>50.0</v>
      </c>
      <c r="G5" s="128" t="s">
        <v>2423</v>
      </c>
      <c r="H5" s="197" t="s">
        <v>2439</v>
      </c>
      <c r="I5" s="197" t="s">
        <v>2440</v>
      </c>
      <c r="J5" s="197" t="s">
        <v>3234</v>
      </c>
      <c r="K5" s="197" t="s">
        <v>3235</v>
      </c>
      <c r="L5" s="197" t="s">
        <v>2543</v>
      </c>
      <c r="M5" s="197" t="s">
        <v>3236</v>
      </c>
      <c r="N5" s="128">
        <v>3.0</v>
      </c>
      <c r="O5" s="128" t="s">
        <v>71</v>
      </c>
    </row>
    <row r="6" ht="37.5" customHeight="1">
      <c r="A6" s="128"/>
      <c r="B6" s="128" t="s">
        <v>467</v>
      </c>
      <c r="C6" s="128">
        <v>28.0</v>
      </c>
      <c r="D6" s="128" t="s">
        <v>94</v>
      </c>
      <c r="E6" s="128" t="s">
        <v>2134</v>
      </c>
      <c r="F6" s="128">
        <v>54.0</v>
      </c>
      <c r="G6" s="128" t="s">
        <v>2423</v>
      </c>
      <c r="H6" s="197" t="s">
        <v>2439</v>
      </c>
      <c r="I6" s="197" t="s">
        <v>2469</v>
      </c>
      <c r="J6" s="197" t="s">
        <v>900</v>
      </c>
      <c r="K6" s="197" t="s">
        <v>3237</v>
      </c>
      <c r="L6" s="197" t="s">
        <v>2457</v>
      </c>
      <c r="M6" s="197" t="s">
        <v>3238</v>
      </c>
      <c r="N6" s="128">
        <v>4.0</v>
      </c>
      <c r="O6" s="128" t="s">
        <v>71</v>
      </c>
    </row>
    <row r="7" ht="37.5" customHeight="1">
      <c r="A7" s="13"/>
      <c r="B7" s="128" t="s">
        <v>3239</v>
      </c>
      <c r="C7" s="128">
        <v>29.0</v>
      </c>
      <c r="D7" s="128" t="s">
        <v>94</v>
      </c>
      <c r="E7" s="128" t="s">
        <v>30</v>
      </c>
      <c r="F7" s="128">
        <v>40.0</v>
      </c>
      <c r="G7" s="128" t="s">
        <v>2423</v>
      </c>
      <c r="H7" s="197" t="s">
        <v>2439</v>
      </c>
      <c r="I7" s="197" t="s">
        <v>2440</v>
      </c>
      <c r="J7" s="197" t="s">
        <v>3240</v>
      </c>
      <c r="K7" s="197" t="s">
        <v>2474</v>
      </c>
      <c r="L7" s="197" t="s">
        <v>2632</v>
      </c>
      <c r="M7" s="197" t="s">
        <v>3241</v>
      </c>
      <c r="N7" s="128">
        <v>5.0</v>
      </c>
      <c r="O7" s="128" t="s">
        <v>71</v>
      </c>
    </row>
    <row r="8" ht="37.5" customHeight="1">
      <c r="A8" s="13"/>
      <c r="B8" s="128" t="s">
        <v>3242</v>
      </c>
      <c r="C8" s="128">
        <v>29.0</v>
      </c>
      <c r="D8" s="128" t="s">
        <v>94</v>
      </c>
      <c r="E8" s="128" t="s">
        <v>24</v>
      </c>
      <c r="F8" s="128">
        <v>31.0</v>
      </c>
      <c r="G8" s="128" t="s">
        <v>2423</v>
      </c>
      <c r="H8" s="197" t="s">
        <v>2439</v>
      </c>
      <c r="I8" s="197" t="s">
        <v>3243</v>
      </c>
      <c r="J8" s="197" t="s">
        <v>3244</v>
      </c>
      <c r="K8" s="197" t="s">
        <v>3245</v>
      </c>
      <c r="L8" s="197" t="s">
        <v>2508</v>
      </c>
      <c r="M8" s="197" t="s">
        <v>3246</v>
      </c>
      <c r="N8" s="128">
        <v>6.0</v>
      </c>
      <c r="O8" s="128" t="s">
        <v>71</v>
      </c>
    </row>
    <row r="9" ht="37.5" customHeight="1">
      <c r="A9" s="13"/>
      <c r="B9" s="128" t="s">
        <v>2045</v>
      </c>
      <c r="C9" s="128">
        <v>29.0</v>
      </c>
      <c r="D9" s="128" t="s">
        <v>73</v>
      </c>
      <c r="E9" s="128" t="s">
        <v>24</v>
      </c>
      <c r="F9" s="128">
        <v>29.0</v>
      </c>
      <c r="G9" s="128" t="s">
        <v>2423</v>
      </c>
      <c r="H9" s="197" t="s">
        <v>2439</v>
      </c>
      <c r="I9" s="197" t="s">
        <v>2440</v>
      </c>
      <c r="J9" s="197" t="s">
        <v>3247</v>
      </c>
      <c r="K9" s="197" t="s">
        <v>3248</v>
      </c>
      <c r="L9" s="197" t="s">
        <v>1509</v>
      </c>
      <c r="M9" s="197" t="s">
        <v>3249</v>
      </c>
      <c r="N9" s="128">
        <v>7.0</v>
      </c>
      <c r="O9" s="128" t="s">
        <v>71</v>
      </c>
    </row>
    <row r="10" ht="37.5" customHeight="1">
      <c r="A10" s="13"/>
      <c r="B10" s="128" t="s">
        <v>3250</v>
      </c>
      <c r="C10" s="128">
        <v>29.0</v>
      </c>
      <c r="D10" s="128" t="s">
        <v>94</v>
      </c>
      <c r="E10" s="128" t="s">
        <v>17</v>
      </c>
      <c r="F10" s="128">
        <v>32.0</v>
      </c>
      <c r="G10" s="128" t="s">
        <v>2423</v>
      </c>
      <c r="H10" s="197" t="s">
        <v>2439</v>
      </c>
      <c r="I10" s="197" t="s">
        <v>2440</v>
      </c>
      <c r="J10" s="197" t="s">
        <v>3251</v>
      </c>
      <c r="K10" s="197" t="s">
        <v>3252</v>
      </c>
      <c r="L10" s="197" t="s">
        <v>1067</v>
      </c>
      <c r="M10" s="197" t="s">
        <v>3253</v>
      </c>
      <c r="N10" s="128">
        <v>8.0</v>
      </c>
      <c r="O10" s="128" t="s">
        <v>71</v>
      </c>
    </row>
    <row r="11" ht="37.5" customHeight="1">
      <c r="A11" s="13"/>
      <c r="B11" s="128" t="s">
        <v>3254</v>
      </c>
      <c r="C11" s="128">
        <v>29.0</v>
      </c>
      <c r="D11" s="128" t="s">
        <v>65</v>
      </c>
      <c r="E11" s="128" t="s">
        <v>13</v>
      </c>
      <c r="F11" s="128">
        <v>46.0</v>
      </c>
      <c r="G11" s="128" t="s">
        <v>2423</v>
      </c>
      <c r="H11" s="197" t="s">
        <v>2439</v>
      </c>
      <c r="I11" s="197" t="s">
        <v>2440</v>
      </c>
      <c r="J11" s="197" t="s">
        <v>322</v>
      </c>
      <c r="K11" s="197" t="s">
        <v>3255</v>
      </c>
      <c r="L11" s="197" t="s">
        <v>2457</v>
      </c>
      <c r="M11" s="197" t="s">
        <v>3256</v>
      </c>
      <c r="N11" s="128">
        <v>9.0</v>
      </c>
      <c r="O11" s="128" t="s">
        <v>92</v>
      </c>
    </row>
    <row r="12" ht="37.5" customHeight="1">
      <c r="A12" s="13"/>
      <c r="B12" s="128" t="s">
        <v>607</v>
      </c>
      <c r="C12" s="128">
        <v>27.0</v>
      </c>
      <c r="D12" s="128" t="s">
        <v>65</v>
      </c>
      <c r="E12" s="128" t="s">
        <v>30</v>
      </c>
      <c r="F12" s="128">
        <v>33.0</v>
      </c>
      <c r="G12" s="128" t="s">
        <v>2423</v>
      </c>
      <c r="H12" s="197" t="s">
        <v>2439</v>
      </c>
      <c r="I12" s="197" t="s">
        <v>2440</v>
      </c>
      <c r="J12" s="197" t="s">
        <v>322</v>
      </c>
      <c r="K12" s="197" t="s">
        <v>3257</v>
      </c>
      <c r="L12" s="197" t="s">
        <v>3107</v>
      </c>
      <c r="M12" s="197" t="s">
        <v>3258</v>
      </c>
      <c r="N12" s="128">
        <v>10.0</v>
      </c>
      <c r="O12" s="128" t="s">
        <v>92</v>
      </c>
    </row>
    <row r="13" ht="37.5" customHeight="1">
      <c r="A13" s="128"/>
      <c r="B13" s="128" t="s">
        <v>821</v>
      </c>
      <c r="C13" s="128">
        <v>26.0</v>
      </c>
      <c r="D13" s="128" t="s">
        <v>65</v>
      </c>
      <c r="E13" s="128" t="s">
        <v>30</v>
      </c>
      <c r="F13" s="128">
        <v>33.0</v>
      </c>
      <c r="G13" s="128" t="s">
        <v>2423</v>
      </c>
      <c r="H13" s="197" t="s">
        <v>2439</v>
      </c>
      <c r="I13" s="197" t="s">
        <v>2440</v>
      </c>
      <c r="J13" s="197" t="s">
        <v>3259</v>
      </c>
      <c r="K13" s="197" t="s">
        <v>3260</v>
      </c>
      <c r="L13" s="197" t="s">
        <v>279</v>
      </c>
      <c r="M13" s="197" t="s">
        <v>3261</v>
      </c>
      <c r="N13" s="128">
        <v>11.0</v>
      </c>
      <c r="O13" s="128" t="s">
        <v>92</v>
      </c>
    </row>
    <row r="14" ht="37.5" customHeight="1">
      <c r="A14" s="128"/>
      <c r="B14" s="128" t="s">
        <v>509</v>
      </c>
      <c r="C14" s="128">
        <v>28.0</v>
      </c>
      <c r="D14" s="128" t="s">
        <v>65</v>
      </c>
      <c r="E14" s="128" t="s">
        <v>17</v>
      </c>
      <c r="F14" s="128">
        <v>26.0</v>
      </c>
      <c r="G14" s="128" t="s">
        <v>2423</v>
      </c>
      <c r="H14" s="197" t="s">
        <v>2439</v>
      </c>
      <c r="I14" s="197" t="s">
        <v>2440</v>
      </c>
      <c r="J14" s="197" t="s">
        <v>3262</v>
      </c>
      <c r="K14" s="197" t="s">
        <v>3263</v>
      </c>
      <c r="L14" s="197" t="s">
        <v>1530</v>
      </c>
      <c r="M14" s="197" t="s">
        <v>3264</v>
      </c>
      <c r="N14" s="128">
        <v>12.0</v>
      </c>
      <c r="O14" s="128" t="s">
        <v>92</v>
      </c>
    </row>
    <row r="15" ht="37.5" customHeight="1">
      <c r="A15" s="128"/>
      <c r="B15" s="128" t="s">
        <v>1262</v>
      </c>
      <c r="C15" s="128">
        <v>29.0</v>
      </c>
      <c r="D15" s="128" t="s">
        <v>65</v>
      </c>
      <c r="E15" s="128" t="s">
        <v>24</v>
      </c>
      <c r="F15" s="128">
        <v>30.0</v>
      </c>
      <c r="G15" s="128" t="s">
        <v>2423</v>
      </c>
      <c r="H15" s="197" t="s">
        <v>2439</v>
      </c>
      <c r="I15" s="197" t="s">
        <v>2440</v>
      </c>
      <c r="J15" s="197" t="s">
        <v>3265</v>
      </c>
      <c r="K15" s="197" t="s">
        <v>322</v>
      </c>
      <c r="L15" s="197" t="s">
        <v>2628</v>
      </c>
      <c r="M15" s="197" t="s">
        <v>3266</v>
      </c>
      <c r="N15" s="128">
        <v>13.0</v>
      </c>
      <c r="O15" s="128" t="s">
        <v>92</v>
      </c>
    </row>
    <row r="16" ht="37.5" customHeight="1">
      <c r="A16" s="13"/>
      <c r="B16" s="128" t="s">
        <v>3267</v>
      </c>
      <c r="C16" s="128">
        <v>29.0</v>
      </c>
      <c r="D16" s="128" t="s">
        <v>65</v>
      </c>
      <c r="E16" s="128" t="s">
        <v>14</v>
      </c>
      <c r="F16" s="128">
        <v>67.0</v>
      </c>
      <c r="G16" s="128" t="s">
        <v>2423</v>
      </c>
      <c r="H16" s="197" t="s">
        <v>2439</v>
      </c>
      <c r="I16" s="197" t="s">
        <v>2440</v>
      </c>
      <c r="J16" s="197" t="s">
        <v>3268</v>
      </c>
      <c r="K16" s="197" t="s">
        <v>3269</v>
      </c>
      <c r="L16" s="197" t="s">
        <v>3134</v>
      </c>
      <c r="M16" s="197" t="s">
        <v>3270</v>
      </c>
      <c r="N16" s="128">
        <v>14.0</v>
      </c>
      <c r="O16" s="128" t="s">
        <v>92</v>
      </c>
    </row>
    <row r="17" ht="37.5" customHeight="1">
      <c r="A17" s="13"/>
      <c r="B17" s="128" t="s">
        <v>3271</v>
      </c>
      <c r="C17" s="128">
        <v>29.0</v>
      </c>
      <c r="D17" s="128" t="s">
        <v>73</v>
      </c>
      <c r="E17" s="128" t="s">
        <v>3233</v>
      </c>
      <c r="F17" s="128">
        <v>50.0</v>
      </c>
      <c r="G17" s="128" t="s">
        <v>2423</v>
      </c>
      <c r="H17" s="197" t="s">
        <v>2439</v>
      </c>
      <c r="I17" s="197" t="s">
        <v>2440</v>
      </c>
      <c r="J17" s="197" t="s">
        <v>3272</v>
      </c>
      <c r="K17" s="197" t="s">
        <v>3273</v>
      </c>
      <c r="L17" s="197" t="s">
        <v>1083</v>
      </c>
      <c r="M17" s="197" t="s">
        <v>3274</v>
      </c>
      <c r="N17" s="128">
        <v>15.0</v>
      </c>
      <c r="O17" s="128" t="s">
        <v>92</v>
      </c>
    </row>
    <row r="18" ht="37.5" customHeight="1">
      <c r="A18" s="13"/>
      <c r="B18" s="128" t="s">
        <v>3275</v>
      </c>
      <c r="C18" s="128">
        <v>29.0</v>
      </c>
      <c r="D18" s="128" t="s">
        <v>89</v>
      </c>
      <c r="E18" s="128" t="s">
        <v>30</v>
      </c>
      <c r="F18" s="128">
        <v>30.0</v>
      </c>
      <c r="G18" s="128" t="s">
        <v>2423</v>
      </c>
      <c r="H18" s="197" t="s">
        <v>2439</v>
      </c>
      <c r="I18" s="197" t="s">
        <v>2440</v>
      </c>
      <c r="J18" s="197" t="s">
        <v>2606</v>
      </c>
      <c r="K18" s="197" t="s">
        <v>1653</v>
      </c>
      <c r="L18" s="197" t="s">
        <v>1075</v>
      </c>
      <c r="M18" s="197" t="s">
        <v>3276</v>
      </c>
      <c r="N18" s="128">
        <v>16.0</v>
      </c>
      <c r="O18" s="128" t="s">
        <v>120</v>
      </c>
    </row>
    <row r="19" ht="37.5" customHeight="1">
      <c r="A19" s="13"/>
      <c r="B19" s="128" t="s">
        <v>2044</v>
      </c>
      <c r="C19" s="128">
        <v>29.0</v>
      </c>
      <c r="D19" s="128" t="s">
        <v>89</v>
      </c>
      <c r="E19" s="128" t="s">
        <v>13</v>
      </c>
      <c r="F19" s="128">
        <v>44.0</v>
      </c>
      <c r="G19" s="128" t="s">
        <v>2423</v>
      </c>
      <c r="H19" s="197" t="s">
        <v>2439</v>
      </c>
      <c r="I19" s="197" t="s">
        <v>2440</v>
      </c>
      <c r="J19" s="197" t="s">
        <v>3277</v>
      </c>
      <c r="K19" s="197" t="s">
        <v>1653</v>
      </c>
      <c r="L19" s="197" t="s">
        <v>2543</v>
      </c>
      <c r="M19" s="197" t="s">
        <v>3278</v>
      </c>
      <c r="N19" s="128">
        <v>17.0</v>
      </c>
      <c r="O19" s="128" t="s">
        <v>120</v>
      </c>
    </row>
    <row r="20" ht="37.5" customHeight="1">
      <c r="A20" s="13"/>
      <c r="B20" s="128" t="s">
        <v>3279</v>
      </c>
      <c r="C20" s="128">
        <v>26.0</v>
      </c>
      <c r="D20" s="128" t="s">
        <v>157</v>
      </c>
      <c r="E20" s="128" t="s">
        <v>30</v>
      </c>
      <c r="F20" s="128">
        <v>33.0</v>
      </c>
      <c r="G20" s="128" t="s">
        <v>2423</v>
      </c>
      <c r="H20" s="197" t="s">
        <v>2439</v>
      </c>
      <c r="I20" s="197" t="s">
        <v>2440</v>
      </c>
      <c r="J20" s="197" t="s">
        <v>3280</v>
      </c>
      <c r="K20" s="197" t="s">
        <v>3281</v>
      </c>
      <c r="L20" s="197" t="s">
        <v>683</v>
      </c>
      <c r="M20" s="197" t="s">
        <v>3282</v>
      </c>
      <c r="N20" s="128">
        <v>18.0</v>
      </c>
      <c r="O20" s="128" t="s">
        <v>120</v>
      </c>
    </row>
    <row r="21" ht="37.5" customHeight="1">
      <c r="A21" s="128"/>
      <c r="B21" s="128" t="s">
        <v>829</v>
      </c>
      <c r="C21" s="128">
        <v>29.0</v>
      </c>
      <c r="D21" s="128" t="s">
        <v>157</v>
      </c>
      <c r="E21" s="128" t="s">
        <v>2042</v>
      </c>
      <c r="F21" s="128">
        <v>43.0</v>
      </c>
      <c r="G21" s="128" t="s">
        <v>2423</v>
      </c>
      <c r="H21" s="197" t="s">
        <v>2439</v>
      </c>
      <c r="I21" s="197" t="s">
        <v>2440</v>
      </c>
      <c r="J21" s="197" t="s">
        <v>986</v>
      </c>
      <c r="K21" s="197" t="s">
        <v>3283</v>
      </c>
      <c r="L21" s="197" t="s">
        <v>895</v>
      </c>
      <c r="M21" s="197" t="s">
        <v>3284</v>
      </c>
      <c r="N21" s="128">
        <v>19.0</v>
      </c>
      <c r="O21" s="128" t="s">
        <v>120</v>
      </c>
    </row>
    <row r="22" ht="37.5" customHeight="1">
      <c r="A22" s="13"/>
      <c r="B22" s="128" t="s">
        <v>670</v>
      </c>
      <c r="C22" s="128">
        <v>29.0</v>
      </c>
      <c r="D22" s="128" t="s">
        <v>157</v>
      </c>
      <c r="E22" s="128" t="s">
        <v>30</v>
      </c>
      <c r="F22" s="128">
        <v>33.0</v>
      </c>
      <c r="G22" s="128" t="s">
        <v>2423</v>
      </c>
      <c r="H22" s="197" t="s">
        <v>2439</v>
      </c>
      <c r="I22" s="197" t="s">
        <v>2440</v>
      </c>
      <c r="J22" s="197" t="s">
        <v>3285</v>
      </c>
      <c r="K22" s="197" t="s">
        <v>3286</v>
      </c>
      <c r="L22" s="197" t="s">
        <v>1534</v>
      </c>
      <c r="M22" s="197" t="s">
        <v>3287</v>
      </c>
      <c r="N22" s="128">
        <v>20.0</v>
      </c>
      <c r="O22" s="128" t="s">
        <v>120</v>
      </c>
    </row>
    <row r="23" ht="37.5" customHeight="1">
      <c r="A23" s="13"/>
      <c r="B23" s="128" t="s">
        <v>609</v>
      </c>
      <c r="C23" s="128">
        <v>27.0</v>
      </c>
      <c r="D23" s="128" t="s">
        <v>157</v>
      </c>
      <c r="E23" s="128" t="s">
        <v>24</v>
      </c>
      <c r="F23" s="128">
        <v>50.0</v>
      </c>
      <c r="G23" s="128" t="s">
        <v>2423</v>
      </c>
      <c r="H23" s="197" t="s">
        <v>2439</v>
      </c>
      <c r="I23" s="197" t="s">
        <v>2440</v>
      </c>
      <c r="J23" s="197" t="s">
        <v>3288</v>
      </c>
      <c r="K23" s="197" t="s">
        <v>986</v>
      </c>
      <c r="L23" s="197" t="s">
        <v>1209</v>
      </c>
      <c r="M23" s="197" t="s">
        <v>3289</v>
      </c>
      <c r="N23" s="128">
        <v>21.0</v>
      </c>
      <c r="O23" s="128" t="s">
        <v>120</v>
      </c>
    </row>
    <row r="24" ht="37.5" customHeight="1">
      <c r="A24" s="13"/>
      <c r="B24" s="128" t="s">
        <v>1424</v>
      </c>
      <c r="C24" s="128">
        <v>24.0</v>
      </c>
      <c r="D24" s="128" t="s">
        <v>83</v>
      </c>
      <c r="E24" s="128" t="s">
        <v>30</v>
      </c>
      <c r="F24" s="128">
        <v>27.0</v>
      </c>
      <c r="G24" s="128" t="s">
        <v>2423</v>
      </c>
      <c r="H24" s="197" t="s">
        <v>2439</v>
      </c>
      <c r="I24" s="197" t="s">
        <v>2440</v>
      </c>
      <c r="J24" s="197" t="s">
        <v>3290</v>
      </c>
      <c r="K24" s="197" t="s">
        <v>3291</v>
      </c>
      <c r="L24" s="197" t="s">
        <v>1511</v>
      </c>
      <c r="M24" s="197" t="s">
        <v>3292</v>
      </c>
      <c r="N24" s="128">
        <v>22.0</v>
      </c>
      <c r="O24" s="128" t="s">
        <v>120</v>
      </c>
    </row>
    <row r="25" ht="37.5" customHeight="1">
      <c r="A25" s="13"/>
      <c r="B25" s="128" t="s">
        <v>1422</v>
      </c>
      <c r="C25" s="128">
        <v>29.0</v>
      </c>
      <c r="D25" s="128" t="s">
        <v>83</v>
      </c>
      <c r="E25" s="128" t="s">
        <v>14</v>
      </c>
      <c r="F25" s="128">
        <v>67.0</v>
      </c>
      <c r="G25" s="128" t="s">
        <v>2423</v>
      </c>
      <c r="H25" s="197" t="s">
        <v>2439</v>
      </c>
      <c r="I25" s="197" t="s">
        <v>2440</v>
      </c>
      <c r="J25" s="197" t="s">
        <v>3293</v>
      </c>
      <c r="K25" s="197" t="s">
        <v>3294</v>
      </c>
      <c r="L25" s="197" t="s">
        <v>1529</v>
      </c>
      <c r="M25" s="197" t="s">
        <v>3295</v>
      </c>
      <c r="N25" s="128">
        <v>23.0</v>
      </c>
      <c r="O25" s="128" t="s">
        <v>120</v>
      </c>
    </row>
    <row r="26" ht="37.5" customHeight="1">
      <c r="A26" s="13"/>
      <c r="B26" s="128" t="s">
        <v>3296</v>
      </c>
      <c r="C26" s="128">
        <v>20.0</v>
      </c>
      <c r="D26" s="128" t="s">
        <v>157</v>
      </c>
      <c r="E26" s="128" t="s">
        <v>2042</v>
      </c>
      <c r="F26" s="128">
        <v>46.0</v>
      </c>
      <c r="G26" s="128" t="s">
        <v>2597</v>
      </c>
      <c r="H26" s="197" t="s">
        <v>2439</v>
      </c>
      <c r="I26" s="197" t="s">
        <v>2440</v>
      </c>
      <c r="J26" s="197" t="s">
        <v>3297</v>
      </c>
      <c r="K26" s="197" t="s">
        <v>986</v>
      </c>
      <c r="L26" s="197" t="s">
        <v>1073</v>
      </c>
      <c r="M26" s="197" t="s">
        <v>3298</v>
      </c>
      <c r="N26" s="128">
        <v>24.0</v>
      </c>
      <c r="O26" s="128" t="s">
        <v>136</v>
      </c>
    </row>
    <row r="27" ht="37.5" customHeight="1">
      <c r="A27" s="13"/>
      <c r="B27" s="128" t="s">
        <v>3299</v>
      </c>
      <c r="C27" s="128">
        <v>14.0</v>
      </c>
      <c r="D27" s="128" t="s">
        <v>65</v>
      </c>
      <c r="E27" s="128" t="s">
        <v>2042</v>
      </c>
      <c r="F27" s="128">
        <v>47.0</v>
      </c>
      <c r="G27" s="128" t="s">
        <v>2597</v>
      </c>
      <c r="H27" s="197" t="s">
        <v>3300</v>
      </c>
      <c r="I27" s="197" t="s">
        <v>2440</v>
      </c>
      <c r="J27" s="197" t="s">
        <v>76</v>
      </c>
      <c r="K27" s="197" t="s">
        <v>3301</v>
      </c>
      <c r="L27" s="197" t="s">
        <v>75</v>
      </c>
      <c r="M27" s="197" t="s">
        <v>3302</v>
      </c>
      <c r="N27" s="128">
        <v>25.0</v>
      </c>
      <c r="O27" s="128" t="s">
        <v>136</v>
      </c>
    </row>
    <row r="28" ht="37.5" customHeight="1">
      <c r="A28" s="13"/>
      <c r="B28" s="128" t="s">
        <v>2046</v>
      </c>
      <c r="C28" s="128">
        <v>18.0</v>
      </c>
      <c r="D28" s="128" t="s">
        <v>89</v>
      </c>
      <c r="E28" s="128" t="s">
        <v>17</v>
      </c>
      <c r="F28" s="128">
        <v>34.0</v>
      </c>
      <c r="G28" s="128" t="s">
        <v>2597</v>
      </c>
      <c r="H28" s="197" t="s">
        <v>2439</v>
      </c>
      <c r="I28" s="197" t="s">
        <v>2440</v>
      </c>
      <c r="J28" s="197" t="s">
        <v>3303</v>
      </c>
      <c r="K28" s="197" t="s">
        <v>3304</v>
      </c>
      <c r="L28" s="197" t="s">
        <v>1527</v>
      </c>
      <c r="M28" s="197" t="s">
        <v>3305</v>
      </c>
      <c r="N28" s="128">
        <v>26.0</v>
      </c>
      <c r="O28" s="128" t="s">
        <v>136</v>
      </c>
    </row>
    <row r="29" ht="37.5" customHeight="1">
      <c r="A29" s="13"/>
      <c r="B29" s="128" t="s">
        <v>3306</v>
      </c>
      <c r="C29" s="128">
        <v>29.0</v>
      </c>
      <c r="D29" s="128" t="s">
        <v>89</v>
      </c>
      <c r="E29" s="128" t="s">
        <v>13</v>
      </c>
      <c r="F29" s="128">
        <v>44.0</v>
      </c>
      <c r="G29" s="128" t="s">
        <v>2423</v>
      </c>
      <c r="H29" s="197" t="s">
        <v>2439</v>
      </c>
      <c r="I29" s="197" t="s">
        <v>2440</v>
      </c>
      <c r="J29" s="197" t="s">
        <v>3307</v>
      </c>
      <c r="K29" s="197" t="s">
        <v>3308</v>
      </c>
      <c r="L29" s="197" t="s">
        <v>895</v>
      </c>
      <c r="M29" s="197" t="s">
        <v>3309</v>
      </c>
      <c r="N29" s="128">
        <v>27.0</v>
      </c>
      <c r="O29" s="128" t="s">
        <v>167</v>
      </c>
    </row>
    <row r="30" ht="37.5" customHeight="1">
      <c r="A30" s="13"/>
      <c r="B30" s="128" t="s">
        <v>3310</v>
      </c>
      <c r="C30" s="128">
        <v>29.0</v>
      </c>
      <c r="D30" s="128" t="s">
        <v>89</v>
      </c>
      <c r="E30" s="128" t="s">
        <v>17</v>
      </c>
      <c r="F30" s="128">
        <v>39.0</v>
      </c>
      <c r="G30" s="128" t="s">
        <v>2423</v>
      </c>
      <c r="H30" s="197" t="s">
        <v>2439</v>
      </c>
      <c r="I30" s="197" t="s">
        <v>2440</v>
      </c>
      <c r="J30" s="197" t="s">
        <v>3311</v>
      </c>
      <c r="K30" s="197" t="s">
        <v>1038</v>
      </c>
      <c r="L30" s="197" t="s">
        <v>425</v>
      </c>
      <c r="M30" s="197" t="s">
        <v>3312</v>
      </c>
      <c r="N30" s="128">
        <v>28.0</v>
      </c>
      <c r="O30" s="128" t="s">
        <v>167</v>
      </c>
    </row>
    <row r="31" ht="37.5" customHeight="1">
      <c r="A31" s="13"/>
      <c r="B31" s="128" t="s">
        <v>3313</v>
      </c>
      <c r="C31" s="128">
        <v>10.0</v>
      </c>
      <c r="D31" s="128" t="s">
        <v>89</v>
      </c>
      <c r="E31" s="128" t="s">
        <v>17</v>
      </c>
      <c r="F31" s="128">
        <v>33.0</v>
      </c>
      <c r="G31" s="128" t="s">
        <v>2597</v>
      </c>
      <c r="H31" s="197" t="s">
        <v>3300</v>
      </c>
      <c r="I31" s="197" t="s">
        <v>2440</v>
      </c>
      <c r="J31" s="197" t="s">
        <v>76</v>
      </c>
      <c r="K31" s="197" t="s">
        <v>1038</v>
      </c>
      <c r="L31" s="197" t="s">
        <v>75</v>
      </c>
      <c r="M31" s="197" t="s">
        <v>3312</v>
      </c>
      <c r="N31" s="128">
        <v>29.0</v>
      </c>
      <c r="O31" s="128" t="s">
        <v>167</v>
      </c>
    </row>
    <row r="32" ht="37.5" customHeight="1">
      <c r="A32" s="13"/>
      <c r="B32" s="128" t="s">
        <v>3314</v>
      </c>
      <c r="C32" s="128">
        <v>29.0</v>
      </c>
      <c r="D32" s="128" t="s">
        <v>65</v>
      </c>
      <c r="E32" s="128" t="s">
        <v>2042</v>
      </c>
      <c r="F32" s="128">
        <v>45.0</v>
      </c>
      <c r="G32" s="128" t="s">
        <v>2423</v>
      </c>
      <c r="H32" s="197" t="s">
        <v>2439</v>
      </c>
      <c r="I32" s="197" t="s">
        <v>2440</v>
      </c>
      <c r="J32" s="197" t="s">
        <v>74</v>
      </c>
      <c r="K32" s="197" t="s">
        <v>1587</v>
      </c>
      <c r="L32" s="197" t="s">
        <v>2543</v>
      </c>
      <c r="M32" s="197" t="s">
        <v>3315</v>
      </c>
      <c r="N32" s="128">
        <v>30.0</v>
      </c>
      <c r="O32" s="128" t="s">
        <v>167</v>
      </c>
    </row>
    <row r="33" ht="37.5" customHeight="1">
      <c r="A33" s="13"/>
      <c r="B33" s="128" t="s">
        <v>3316</v>
      </c>
      <c r="C33" s="128">
        <v>24.0</v>
      </c>
      <c r="D33" s="128" t="s">
        <v>89</v>
      </c>
      <c r="E33" s="128" t="s">
        <v>13</v>
      </c>
      <c r="F33" s="128">
        <v>50.0</v>
      </c>
      <c r="G33" s="128" t="s">
        <v>2423</v>
      </c>
      <c r="H33" s="197" t="s">
        <v>2439</v>
      </c>
      <c r="I33" s="197" t="s">
        <v>2440</v>
      </c>
      <c r="J33" s="197" t="s">
        <v>79</v>
      </c>
      <c r="K33" s="197" t="s">
        <v>3317</v>
      </c>
      <c r="L33" s="197" t="s">
        <v>2628</v>
      </c>
      <c r="M33" s="197" t="s">
        <v>3318</v>
      </c>
      <c r="N33" s="128">
        <v>31.0</v>
      </c>
      <c r="O33" s="128" t="s">
        <v>167</v>
      </c>
    </row>
    <row r="34" ht="37.5" customHeight="1">
      <c r="A34" s="13"/>
      <c r="B34" s="128" t="s">
        <v>3319</v>
      </c>
      <c r="C34" s="128">
        <v>29.0</v>
      </c>
      <c r="D34" s="128" t="s">
        <v>89</v>
      </c>
      <c r="E34" s="128" t="s">
        <v>24</v>
      </c>
      <c r="F34" s="128">
        <v>27.0</v>
      </c>
      <c r="G34" s="128" t="s">
        <v>2423</v>
      </c>
      <c r="H34" s="197" t="s">
        <v>2439</v>
      </c>
      <c r="I34" s="197" t="s">
        <v>2440</v>
      </c>
      <c r="J34" s="197" t="s">
        <v>74</v>
      </c>
      <c r="K34" s="197" t="s">
        <v>3320</v>
      </c>
      <c r="L34" s="197" t="s">
        <v>2543</v>
      </c>
      <c r="M34" s="197" t="s">
        <v>3321</v>
      </c>
      <c r="N34" s="128">
        <v>32.0</v>
      </c>
      <c r="O34" s="128" t="s">
        <v>167</v>
      </c>
    </row>
    <row r="35" ht="37.5" customHeight="1">
      <c r="A35" s="13"/>
      <c r="B35" s="128" t="s">
        <v>3322</v>
      </c>
      <c r="C35" s="128">
        <v>16.0</v>
      </c>
      <c r="D35" s="128" t="s">
        <v>73</v>
      </c>
      <c r="E35" s="128" t="s">
        <v>24</v>
      </c>
      <c r="F35" s="128">
        <v>45.0</v>
      </c>
      <c r="G35" s="128" t="s">
        <v>2597</v>
      </c>
      <c r="H35" s="197" t="s">
        <v>2439</v>
      </c>
      <c r="I35" s="197" t="s">
        <v>2440</v>
      </c>
      <c r="J35" s="197" t="s">
        <v>945</v>
      </c>
      <c r="K35" s="197" t="s">
        <v>3323</v>
      </c>
      <c r="L35" s="197" t="s">
        <v>2600</v>
      </c>
      <c r="M35" s="197" t="s">
        <v>3324</v>
      </c>
      <c r="N35" s="128">
        <v>33.0</v>
      </c>
      <c r="O35" s="128" t="s">
        <v>167</v>
      </c>
    </row>
    <row r="36" ht="37.5" customHeight="1">
      <c r="A36" s="13"/>
      <c r="B36" s="128" t="s">
        <v>3325</v>
      </c>
      <c r="C36" s="128">
        <v>14.0</v>
      </c>
      <c r="D36" s="128" t="s">
        <v>89</v>
      </c>
      <c r="E36" s="128" t="s">
        <v>24</v>
      </c>
      <c r="F36" s="128">
        <v>28.0</v>
      </c>
      <c r="G36" s="128" t="s">
        <v>2597</v>
      </c>
      <c r="H36" s="197" t="s">
        <v>2439</v>
      </c>
      <c r="I36" s="197" t="s">
        <v>2440</v>
      </c>
      <c r="J36" s="197" t="s">
        <v>1035</v>
      </c>
      <c r="K36" s="197" t="s">
        <v>247</v>
      </c>
      <c r="L36" s="197" t="s">
        <v>75</v>
      </c>
      <c r="M36" s="197" t="s">
        <v>3326</v>
      </c>
      <c r="N36" s="128">
        <v>34.0</v>
      </c>
      <c r="O36" s="128" t="s">
        <v>423</v>
      </c>
    </row>
    <row r="37" ht="37.5" customHeight="1">
      <c r="A37" s="13"/>
      <c r="B37" s="128" t="s">
        <v>3327</v>
      </c>
      <c r="C37" s="128">
        <v>15.0</v>
      </c>
      <c r="D37" s="128" t="s">
        <v>94</v>
      </c>
      <c r="E37" s="128" t="s">
        <v>17</v>
      </c>
      <c r="F37" s="128">
        <v>32.0</v>
      </c>
      <c r="G37" s="128" t="s">
        <v>2597</v>
      </c>
      <c r="H37" s="197" t="s">
        <v>3300</v>
      </c>
      <c r="I37" s="197" t="s">
        <v>2440</v>
      </c>
      <c r="J37" s="197" t="s">
        <v>74</v>
      </c>
      <c r="K37" s="197" t="s">
        <v>1643</v>
      </c>
      <c r="L37" s="197" t="s">
        <v>75</v>
      </c>
      <c r="M37" s="197" t="s">
        <v>3328</v>
      </c>
      <c r="N37" s="128">
        <v>35.0</v>
      </c>
      <c r="O37" s="128" t="s">
        <v>423</v>
      </c>
    </row>
    <row r="38" ht="37.5" customHeight="1">
      <c r="A38" s="13"/>
      <c r="B38" s="128" t="s">
        <v>3329</v>
      </c>
      <c r="C38" s="128">
        <v>19.0</v>
      </c>
      <c r="D38" s="128" t="s">
        <v>94</v>
      </c>
      <c r="E38" s="128" t="s">
        <v>14</v>
      </c>
      <c r="F38" s="128">
        <v>63.0</v>
      </c>
      <c r="G38" s="128" t="s">
        <v>2597</v>
      </c>
      <c r="H38" s="197" t="s">
        <v>2439</v>
      </c>
      <c r="I38" s="197" t="s">
        <v>2440</v>
      </c>
      <c r="J38" s="197" t="s">
        <v>3303</v>
      </c>
      <c r="K38" s="197" t="s">
        <v>3330</v>
      </c>
      <c r="L38" s="197" t="s">
        <v>2624</v>
      </c>
      <c r="M38" s="197" t="s">
        <v>3331</v>
      </c>
      <c r="N38" s="128">
        <v>36.0</v>
      </c>
      <c r="O38" s="128" t="s">
        <v>423</v>
      </c>
    </row>
    <row r="39" ht="37.5" customHeight="1">
      <c r="A39" s="13"/>
      <c r="B39" s="128" t="s">
        <v>3332</v>
      </c>
      <c r="C39" s="128">
        <v>11.0</v>
      </c>
      <c r="D39" s="128" t="s">
        <v>73</v>
      </c>
      <c r="E39" s="128" t="s">
        <v>14</v>
      </c>
      <c r="F39" s="128">
        <v>69.0</v>
      </c>
      <c r="G39" s="128" t="s">
        <v>2597</v>
      </c>
      <c r="H39" s="197" t="s">
        <v>3300</v>
      </c>
      <c r="I39" s="197" t="s">
        <v>2440</v>
      </c>
      <c r="J39" s="197" t="s">
        <v>970</v>
      </c>
      <c r="K39" s="197" t="s">
        <v>991</v>
      </c>
      <c r="L39" s="197" t="s">
        <v>75</v>
      </c>
      <c r="M39" s="197" t="s">
        <v>3333</v>
      </c>
      <c r="N39" s="128">
        <v>37.0</v>
      </c>
      <c r="O39" s="128" t="s">
        <v>423</v>
      </c>
    </row>
    <row r="40" ht="37.5" customHeight="1">
      <c r="A40" s="13"/>
      <c r="B40" s="128" t="s">
        <v>3334</v>
      </c>
      <c r="C40" s="128">
        <v>12.0</v>
      </c>
      <c r="D40" s="128" t="s">
        <v>89</v>
      </c>
      <c r="E40" s="128" t="s">
        <v>2042</v>
      </c>
      <c r="F40" s="128">
        <v>47.0</v>
      </c>
      <c r="G40" s="128" t="s">
        <v>2597</v>
      </c>
      <c r="H40" s="197" t="s">
        <v>2439</v>
      </c>
      <c r="I40" s="197" t="s">
        <v>2440</v>
      </c>
      <c r="J40" s="197" t="s">
        <v>74</v>
      </c>
      <c r="K40" s="197" t="s">
        <v>269</v>
      </c>
      <c r="L40" s="197" t="s">
        <v>75</v>
      </c>
      <c r="M40" s="197" t="s">
        <v>3335</v>
      </c>
      <c r="N40" s="128">
        <v>38.0</v>
      </c>
      <c r="O40" s="128" t="s">
        <v>447</v>
      </c>
    </row>
  </sheetData>
  <autoFilter ref="$A$2:$O$40">
    <sortState ref="A2:O40">
      <sortCondition ref="N2:N40"/>
      <sortCondition ref="B2:B40"/>
    </sortState>
  </autoFilter>
  <mergeCells count="4">
    <mergeCell ref="A1:B1"/>
    <mergeCell ref="C1:G1"/>
    <mergeCell ref="H1:L1"/>
    <mergeCell ref="M1:O1"/>
  </mergeCells>
  <conditionalFormatting sqref="D3:D40">
    <cfRule type="cellIs" dxfId="19" priority="1" operator="equal">
      <formula>"Kinetic"</formula>
    </cfRule>
  </conditionalFormatting>
  <conditionalFormatting sqref="O3:O40">
    <cfRule type="cellIs" dxfId="3" priority="2" operator="equal">
      <formula>"F"</formula>
    </cfRule>
  </conditionalFormatting>
  <conditionalFormatting sqref="O3:O40">
    <cfRule type="cellIs" dxfId="4" priority="3" operator="equal">
      <formula>"E"</formula>
    </cfRule>
  </conditionalFormatting>
  <conditionalFormatting sqref="N3:O4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40">
    <cfRule type="cellIs" dxfId="13" priority="5" operator="equal">
      <formula>"Solar"</formula>
    </cfRule>
  </conditionalFormatting>
  <conditionalFormatting sqref="D3:D40">
    <cfRule type="cellIs" dxfId="20" priority="6" operator="equal">
      <formula>"Arc"</formula>
    </cfRule>
  </conditionalFormatting>
  <conditionalFormatting sqref="D3:D40">
    <cfRule type="cellIs" dxfId="21" priority="7" operator="equal">
      <formula>"Stasis"</formula>
    </cfRule>
  </conditionalFormatting>
  <conditionalFormatting sqref="D3:D40">
    <cfRule type="cellIs" dxfId="18" priority="8" operator="equal">
      <formula>"Void"</formula>
    </cfRule>
  </conditionalFormatting>
  <conditionalFormatting sqref="D3:D40">
    <cfRule type="cellIs" dxfId="17" priority="9" operator="equal">
      <formula>"Strand"</formula>
    </cfRule>
  </conditionalFormatting>
  <conditionalFormatting sqref="G3:G40">
    <cfRule type="cellIs" dxfId="17" priority="10" operator="equal">
      <formula>"Yes"</formula>
    </cfRule>
  </conditionalFormatting>
  <conditionalFormatting sqref="G3:G40">
    <cfRule type="cellIs" dxfId="2" priority="11" operator="equal">
      <formula>"No"</formula>
    </cfRule>
  </conditionalFormatting>
  <conditionalFormatting sqref="O3:O40">
    <cfRule type="cellIs" dxfId="5" priority="12" operator="equal">
      <formula>"S"</formula>
    </cfRule>
  </conditionalFormatting>
  <conditionalFormatting sqref="O3:O40">
    <cfRule type="cellIs" dxfId="6" priority="13" operator="equal">
      <formula>"B"</formula>
    </cfRule>
  </conditionalFormatting>
  <conditionalFormatting sqref="O3:O40">
    <cfRule type="cellIs" dxfId="7" priority="14" operator="equal">
      <formula>"D"</formula>
    </cfRule>
  </conditionalFormatting>
  <conditionalFormatting sqref="O3:O40">
    <cfRule type="cellIs" dxfId="8" priority="15" operator="equal">
      <formula>"C"</formula>
    </cfRule>
  </conditionalFormatting>
  <conditionalFormatting sqref="O3:O40">
    <cfRule type="cellIs" dxfId="9" priority="16" operator="equal">
      <formula>"A"</formula>
    </cfRule>
  </conditionalFormatting>
  <conditionalFormatting sqref="F3:F40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40">
    <cfRule type="expression" dxfId="12" priority="18">
      <formula>$C3=MAX($C$3:$C40)</formula>
    </cfRule>
  </conditionalFormatting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/>
      <c r="D1" s="191" t="s">
        <v>1979</v>
      </c>
      <c r="E1" s="191"/>
      <c r="F1" s="191"/>
      <c r="G1" s="191"/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690</v>
      </c>
      <c r="C3" s="128">
        <v>29.0</v>
      </c>
      <c r="D3" s="128" t="s">
        <v>89</v>
      </c>
      <c r="E3" s="128" t="s">
        <v>24</v>
      </c>
      <c r="F3" s="128">
        <v>64.0</v>
      </c>
      <c r="G3" s="128" t="s">
        <v>2423</v>
      </c>
      <c r="H3" s="197" t="s">
        <v>2439</v>
      </c>
      <c r="I3" s="197" t="s">
        <v>2440</v>
      </c>
      <c r="J3" s="197" t="s">
        <v>3336</v>
      </c>
      <c r="K3" s="197" t="s">
        <v>3337</v>
      </c>
      <c r="L3" s="197" t="s">
        <v>895</v>
      </c>
      <c r="M3" s="197" t="s">
        <v>3338</v>
      </c>
      <c r="N3" s="128">
        <v>1.0</v>
      </c>
      <c r="O3" s="128" t="s">
        <v>71</v>
      </c>
    </row>
    <row r="4" ht="37.5" customHeight="1">
      <c r="A4" s="13"/>
      <c r="B4" s="128" t="s">
        <v>611</v>
      </c>
      <c r="C4" s="128">
        <v>27.0</v>
      </c>
      <c r="D4" s="128" t="s">
        <v>73</v>
      </c>
      <c r="E4" s="128" t="s">
        <v>24</v>
      </c>
      <c r="F4" s="128">
        <v>69.0</v>
      </c>
      <c r="G4" s="128" t="s">
        <v>2423</v>
      </c>
      <c r="H4" s="197" t="s">
        <v>2439</v>
      </c>
      <c r="I4" s="197" t="s">
        <v>2440</v>
      </c>
      <c r="J4" s="197" t="s">
        <v>3339</v>
      </c>
      <c r="K4" s="197" t="s">
        <v>3340</v>
      </c>
      <c r="L4" s="197" t="s">
        <v>1534</v>
      </c>
      <c r="M4" s="197" t="s">
        <v>3341</v>
      </c>
      <c r="N4" s="128">
        <v>2.0</v>
      </c>
      <c r="O4" s="128" t="s">
        <v>71</v>
      </c>
    </row>
    <row r="5" ht="37.5" customHeight="1">
      <c r="A5" s="13"/>
      <c r="B5" s="128" t="s">
        <v>3342</v>
      </c>
      <c r="C5" s="128">
        <v>29.0</v>
      </c>
      <c r="D5" s="128" t="s">
        <v>94</v>
      </c>
      <c r="E5" s="128" t="s">
        <v>16</v>
      </c>
      <c r="F5" s="128">
        <v>34.0</v>
      </c>
      <c r="G5" s="128" t="s">
        <v>2423</v>
      </c>
      <c r="H5" s="197" t="s">
        <v>2439</v>
      </c>
      <c r="I5" s="197" t="s">
        <v>2440</v>
      </c>
      <c r="J5" s="197" t="s">
        <v>1831</v>
      </c>
      <c r="K5" s="197" t="s">
        <v>3343</v>
      </c>
      <c r="L5" s="197" t="s">
        <v>1061</v>
      </c>
      <c r="M5" s="197" t="s">
        <v>3344</v>
      </c>
      <c r="N5" s="128">
        <v>3.0</v>
      </c>
      <c r="O5" s="128" t="s">
        <v>71</v>
      </c>
    </row>
    <row r="6" ht="37.5" customHeight="1">
      <c r="A6" s="13"/>
      <c r="B6" s="128" t="s">
        <v>2056</v>
      </c>
      <c r="C6" s="128">
        <v>29.0</v>
      </c>
      <c r="D6" s="128" t="s">
        <v>94</v>
      </c>
      <c r="E6" s="128" t="s">
        <v>24</v>
      </c>
      <c r="F6" s="128">
        <v>67.0</v>
      </c>
      <c r="G6" s="128" t="s">
        <v>2423</v>
      </c>
      <c r="H6" s="197" t="s">
        <v>2439</v>
      </c>
      <c r="I6" s="197" t="s">
        <v>2440</v>
      </c>
      <c r="J6" s="197" t="s">
        <v>3345</v>
      </c>
      <c r="K6" s="197" t="s">
        <v>3346</v>
      </c>
      <c r="L6" s="197" t="s">
        <v>2779</v>
      </c>
      <c r="M6" s="197" t="s">
        <v>3347</v>
      </c>
      <c r="N6" s="128">
        <v>4.0</v>
      </c>
      <c r="O6" s="128" t="s">
        <v>71</v>
      </c>
    </row>
    <row r="7" ht="37.5" customHeight="1">
      <c r="A7" s="128"/>
      <c r="B7" s="128" t="s">
        <v>470</v>
      </c>
      <c r="C7" s="128">
        <v>28.0</v>
      </c>
      <c r="D7" s="128" t="s">
        <v>157</v>
      </c>
      <c r="E7" s="128" t="s">
        <v>2137</v>
      </c>
      <c r="F7" s="128">
        <v>69.0</v>
      </c>
      <c r="G7" s="128" t="s">
        <v>2423</v>
      </c>
      <c r="H7" s="197" t="s">
        <v>2439</v>
      </c>
      <c r="I7" s="197" t="s">
        <v>2469</v>
      </c>
      <c r="J7" s="197" t="s">
        <v>3348</v>
      </c>
      <c r="K7" s="197" t="s">
        <v>3349</v>
      </c>
      <c r="L7" s="197" t="s">
        <v>2457</v>
      </c>
      <c r="M7" s="197" t="s">
        <v>3350</v>
      </c>
      <c r="N7" s="128">
        <v>5.0</v>
      </c>
      <c r="O7" s="128" t="s">
        <v>71</v>
      </c>
    </row>
    <row r="8" ht="37.5" customHeight="1">
      <c r="A8" s="128"/>
      <c r="B8" s="128" t="s">
        <v>444</v>
      </c>
      <c r="C8" s="128">
        <v>28.0</v>
      </c>
      <c r="D8" s="128" t="s">
        <v>89</v>
      </c>
      <c r="E8" s="128" t="s">
        <v>32</v>
      </c>
      <c r="F8" s="128">
        <v>43.0</v>
      </c>
      <c r="G8" s="128" t="s">
        <v>2423</v>
      </c>
      <c r="H8" s="197" t="s">
        <v>2439</v>
      </c>
      <c r="I8" s="197" t="s">
        <v>2440</v>
      </c>
      <c r="J8" s="197" t="s">
        <v>3351</v>
      </c>
      <c r="K8" s="197" t="s">
        <v>3352</v>
      </c>
      <c r="L8" s="197" t="s">
        <v>75</v>
      </c>
      <c r="M8" s="197" t="s">
        <v>3353</v>
      </c>
      <c r="N8" s="128">
        <v>6.0</v>
      </c>
      <c r="O8" s="128" t="s">
        <v>71</v>
      </c>
    </row>
    <row r="9" ht="37.5" customHeight="1">
      <c r="A9" s="13"/>
      <c r="B9" s="128" t="s">
        <v>542</v>
      </c>
      <c r="C9" s="128">
        <v>27.0</v>
      </c>
      <c r="D9" s="128" t="s">
        <v>73</v>
      </c>
      <c r="E9" s="128" t="s">
        <v>3354</v>
      </c>
      <c r="F9" s="128">
        <v>70.0</v>
      </c>
      <c r="G9" s="128" t="s">
        <v>2423</v>
      </c>
      <c r="H9" s="197" t="s">
        <v>2439</v>
      </c>
      <c r="I9" s="197" t="s">
        <v>2440</v>
      </c>
      <c r="J9" s="197" t="s">
        <v>3355</v>
      </c>
      <c r="K9" s="197" t="s">
        <v>3356</v>
      </c>
      <c r="L9" s="197" t="s">
        <v>2543</v>
      </c>
      <c r="M9" s="197" t="s">
        <v>3357</v>
      </c>
      <c r="N9" s="128">
        <v>7.0</v>
      </c>
      <c r="O9" s="128" t="s">
        <v>71</v>
      </c>
    </row>
    <row r="10" ht="37.5" customHeight="1">
      <c r="A10" s="13"/>
      <c r="B10" s="128" t="s">
        <v>665</v>
      </c>
      <c r="C10" s="128">
        <v>29.0</v>
      </c>
      <c r="D10" s="128" t="s">
        <v>73</v>
      </c>
      <c r="E10" s="128" t="s">
        <v>16</v>
      </c>
      <c r="F10" s="128">
        <v>32.0</v>
      </c>
      <c r="G10" s="128" t="s">
        <v>2423</v>
      </c>
      <c r="H10" s="197" t="s">
        <v>2439</v>
      </c>
      <c r="I10" s="197" t="s">
        <v>2440</v>
      </c>
      <c r="J10" s="197" t="s">
        <v>3358</v>
      </c>
      <c r="K10" s="197" t="s">
        <v>1584</v>
      </c>
      <c r="L10" s="197" t="s">
        <v>1522</v>
      </c>
      <c r="M10" s="197" t="s">
        <v>3359</v>
      </c>
      <c r="N10" s="128">
        <v>8.0</v>
      </c>
      <c r="O10" s="128" t="s">
        <v>71</v>
      </c>
    </row>
    <row r="11" ht="37.5" customHeight="1">
      <c r="A11" s="13"/>
      <c r="B11" s="128" t="s">
        <v>3360</v>
      </c>
      <c r="C11" s="128">
        <v>29.0</v>
      </c>
      <c r="D11" s="128" t="s">
        <v>89</v>
      </c>
      <c r="E11" s="128" t="s">
        <v>24</v>
      </c>
      <c r="F11" s="128">
        <v>65.0</v>
      </c>
      <c r="G11" s="128" t="s">
        <v>2423</v>
      </c>
      <c r="H11" s="197" t="s">
        <v>2439</v>
      </c>
      <c r="I11" s="197" t="s">
        <v>2440</v>
      </c>
      <c r="J11" s="197" t="s">
        <v>1653</v>
      </c>
      <c r="K11" s="197" t="s">
        <v>936</v>
      </c>
      <c r="L11" s="197" t="s">
        <v>3000</v>
      </c>
      <c r="M11" s="197" t="s">
        <v>3361</v>
      </c>
      <c r="N11" s="128">
        <v>9.0</v>
      </c>
      <c r="O11" s="128" t="s">
        <v>71</v>
      </c>
    </row>
    <row r="12" ht="37.5" customHeight="1">
      <c r="A12" s="13"/>
      <c r="B12" s="128" t="s">
        <v>3362</v>
      </c>
      <c r="C12" s="128">
        <v>29.0</v>
      </c>
      <c r="D12" s="128" t="s">
        <v>65</v>
      </c>
      <c r="E12" s="128" t="s">
        <v>24</v>
      </c>
      <c r="F12" s="128">
        <v>47.0</v>
      </c>
      <c r="G12" s="128" t="s">
        <v>2423</v>
      </c>
      <c r="H12" s="197" t="s">
        <v>2439</v>
      </c>
      <c r="I12" s="197" t="s">
        <v>2440</v>
      </c>
      <c r="J12" s="197" t="s">
        <v>322</v>
      </c>
      <c r="K12" s="197" t="s">
        <v>987</v>
      </c>
      <c r="L12" s="197" t="s">
        <v>2457</v>
      </c>
      <c r="M12" s="197" t="s">
        <v>3363</v>
      </c>
      <c r="N12" s="128">
        <v>10.0</v>
      </c>
      <c r="O12" s="128" t="s">
        <v>71</v>
      </c>
    </row>
    <row r="13" ht="37.5" customHeight="1">
      <c r="A13" s="13"/>
      <c r="B13" s="128" t="s">
        <v>613</v>
      </c>
      <c r="C13" s="128">
        <v>27.0</v>
      </c>
      <c r="D13" s="128" t="s">
        <v>65</v>
      </c>
      <c r="E13" s="128" t="s">
        <v>13</v>
      </c>
      <c r="F13" s="128">
        <v>42.0</v>
      </c>
      <c r="G13" s="128" t="s">
        <v>2423</v>
      </c>
      <c r="H13" s="197" t="s">
        <v>2439</v>
      </c>
      <c r="I13" s="197" t="s">
        <v>2440</v>
      </c>
      <c r="J13" s="197" t="s">
        <v>3364</v>
      </c>
      <c r="K13" s="197" t="s">
        <v>3365</v>
      </c>
      <c r="L13" s="197" t="s">
        <v>2448</v>
      </c>
      <c r="M13" s="197" t="s">
        <v>3366</v>
      </c>
      <c r="N13" s="128">
        <v>11.0</v>
      </c>
      <c r="O13" s="128" t="s">
        <v>71</v>
      </c>
    </row>
    <row r="14" ht="37.5" customHeight="1">
      <c r="A14" s="13"/>
      <c r="B14" s="128" t="s">
        <v>741</v>
      </c>
      <c r="C14" s="128">
        <v>29.0</v>
      </c>
      <c r="D14" s="128" t="s">
        <v>94</v>
      </c>
      <c r="E14" s="128" t="s">
        <v>16</v>
      </c>
      <c r="F14" s="128">
        <v>34.0</v>
      </c>
      <c r="G14" s="128" t="s">
        <v>2423</v>
      </c>
      <c r="H14" s="197" t="s">
        <v>2439</v>
      </c>
      <c r="I14" s="197" t="s">
        <v>2440</v>
      </c>
      <c r="J14" s="197" t="s">
        <v>3367</v>
      </c>
      <c r="K14" s="197" t="s">
        <v>3252</v>
      </c>
      <c r="L14" s="197" t="s">
        <v>1527</v>
      </c>
      <c r="M14" s="197" t="s">
        <v>3368</v>
      </c>
      <c r="N14" s="128">
        <v>12.0</v>
      </c>
      <c r="O14" s="128" t="s">
        <v>71</v>
      </c>
    </row>
    <row r="15" ht="37.5" customHeight="1">
      <c r="A15" s="13"/>
      <c r="B15" s="128" t="s">
        <v>3369</v>
      </c>
      <c r="C15" s="128">
        <v>29.0</v>
      </c>
      <c r="D15" s="128" t="s">
        <v>94</v>
      </c>
      <c r="E15" s="128" t="s">
        <v>13</v>
      </c>
      <c r="F15" s="128">
        <v>42.0</v>
      </c>
      <c r="G15" s="128" t="s">
        <v>2423</v>
      </c>
      <c r="H15" s="197" t="s">
        <v>2439</v>
      </c>
      <c r="I15" s="197" t="s">
        <v>2440</v>
      </c>
      <c r="J15" s="197" t="s">
        <v>3370</v>
      </c>
      <c r="K15" s="197" t="s">
        <v>900</v>
      </c>
      <c r="L15" s="197" t="s">
        <v>425</v>
      </c>
      <c r="M15" s="197" t="s">
        <v>3371</v>
      </c>
      <c r="N15" s="128">
        <v>13.0</v>
      </c>
      <c r="O15" s="128" t="s">
        <v>71</v>
      </c>
    </row>
    <row r="16" ht="37.5" customHeight="1">
      <c r="A16" s="14"/>
      <c r="B16" s="128" t="s">
        <v>3372</v>
      </c>
      <c r="C16" s="128">
        <v>29.0</v>
      </c>
      <c r="D16" s="128" t="s">
        <v>94</v>
      </c>
      <c r="E16" s="128" t="s">
        <v>2137</v>
      </c>
      <c r="F16" s="128">
        <v>66.0</v>
      </c>
      <c r="G16" s="128" t="s">
        <v>2423</v>
      </c>
      <c r="H16" s="197" t="s">
        <v>2439</v>
      </c>
      <c r="I16" s="197" t="s">
        <v>2469</v>
      </c>
      <c r="J16" s="197" t="s">
        <v>3373</v>
      </c>
      <c r="K16" s="197" t="s">
        <v>3346</v>
      </c>
      <c r="L16" s="197" t="s">
        <v>1073</v>
      </c>
      <c r="M16" s="197" t="s">
        <v>3374</v>
      </c>
      <c r="N16" s="128">
        <v>14.0</v>
      </c>
      <c r="O16" s="128" t="s">
        <v>92</v>
      </c>
    </row>
    <row r="17" ht="37.5" customHeight="1">
      <c r="A17" s="13"/>
      <c r="B17" s="128" t="s">
        <v>1420</v>
      </c>
      <c r="C17" s="128">
        <v>29.0</v>
      </c>
      <c r="D17" s="128" t="s">
        <v>83</v>
      </c>
      <c r="E17" s="128" t="s">
        <v>24</v>
      </c>
      <c r="F17" s="128">
        <v>70.0</v>
      </c>
      <c r="G17" s="128" t="s">
        <v>2423</v>
      </c>
      <c r="H17" s="197" t="s">
        <v>2439</v>
      </c>
      <c r="I17" s="197" t="s">
        <v>2440</v>
      </c>
      <c r="J17" s="197" t="s">
        <v>3375</v>
      </c>
      <c r="K17" s="197" t="s">
        <v>3376</v>
      </c>
      <c r="L17" s="197" t="s">
        <v>1063</v>
      </c>
      <c r="M17" s="197" t="s">
        <v>3377</v>
      </c>
      <c r="N17" s="128">
        <v>15.0</v>
      </c>
      <c r="O17" s="128" t="s">
        <v>92</v>
      </c>
    </row>
    <row r="18" ht="37.5" customHeight="1">
      <c r="A18" s="13"/>
      <c r="B18" s="128" t="s">
        <v>535</v>
      </c>
      <c r="C18" s="128">
        <v>27.0</v>
      </c>
      <c r="D18" s="128" t="s">
        <v>89</v>
      </c>
      <c r="E18" s="128" t="s">
        <v>24</v>
      </c>
      <c r="F18" s="128">
        <v>60.0</v>
      </c>
      <c r="G18" s="128" t="s">
        <v>2423</v>
      </c>
      <c r="H18" s="197" t="s">
        <v>2439</v>
      </c>
      <c r="I18" s="197" t="s">
        <v>2440</v>
      </c>
      <c r="J18" s="197" t="s">
        <v>3378</v>
      </c>
      <c r="K18" s="197" t="s">
        <v>3379</v>
      </c>
      <c r="L18" s="197" t="s">
        <v>2600</v>
      </c>
      <c r="M18" s="197" t="s">
        <v>3380</v>
      </c>
      <c r="N18" s="128">
        <v>16.0</v>
      </c>
      <c r="O18" s="128" t="s">
        <v>92</v>
      </c>
    </row>
    <row r="19" ht="37.5" customHeight="1">
      <c r="A19" s="13"/>
      <c r="B19" s="128" t="s">
        <v>3381</v>
      </c>
      <c r="C19" s="128">
        <v>26.0</v>
      </c>
      <c r="D19" s="128" t="s">
        <v>73</v>
      </c>
      <c r="E19" s="128" t="s">
        <v>16</v>
      </c>
      <c r="F19" s="128">
        <v>32.0</v>
      </c>
      <c r="G19" s="128" t="s">
        <v>2423</v>
      </c>
      <c r="H19" s="197" t="s">
        <v>2439</v>
      </c>
      <c r="I19" s="197" t="s">
        <v>2440</v>
      </c>
      <c r="J19" s="197" t="s">
        <v>3339</v>
      </c>
      <c r="K19" s="197" t="s">
        <v>1584</v>
      </c>
      <c r="L19" s="197" t="s">
        <v>683</v>
      </c>
      <c r="M19" s="197" t="s">
        <v>3382</v>
      </c>
      <c r="N19" s="128">
        <v>17.0</v>
      </c>
      <c r="O19" s="128" t="s">
        <v>92</v>
      </c>
    </row>
    <row r="20" ht="37.5" customHeight="1">
      <c r="A20" s="13"/>
      <c r="B20" s="128" t="s">
        <v>2054</v>
      </c>
      <c r="C20" s="128">
        <v>29.0</v>
      </c>
      <c r="D20" s="128" t="s">
        <v>73</v>
      </c>
      <c r="E20" s="128" t="s">
        <v>13</v>
      </c>
      <c r="F20" s="128">
        <v>44.0</v>
      </c>
      <c r="G20" s="128" t="s">
        <v>2423</v>
      </c>
      <c r="H20" s="197" t="s">
        <v>2439</v>
      </c>
      <c r="I20" s="197" t="s">
        <v>2440</v>
      </c>
      <c r="J20" s="197" t="s">
        <v>3383</v>
      </c>
      <c r="K20" s="197" t="s">
        <v>3384</v>
      </c>
      <c r="L20" s="197" t="s">
        <v>2486</v>
      </c>
      <c r="M20" s="197" t="s">
        <v>3385</v>
      </c>
      <c r="N20" s="128">
        <v>18.0</v>
      </c>
      <c r="O20" s="128" t="s">
        <v>92</v>
      </c>
    </row>
    <row r="21" ht="37.5" customHeight="1">
      <c r="A21" s="128"/>
      <c r="B21" s="128" t="s">
        <v>2057</v>
      </c>
      <c r="C21" s="128">
        <v>29.0</v>
      </c>
      <c r="D21" s="128" t="s">
        <v>94</v>
      </c>
      <c r="E21" s="128" t="s">
        <v>17</v>
      </c>
      <c r="F21" s="128">
        <v>24.0</v>
      </c>
      <c r="G21" s="128" t="s">
        <v>2423</v>
      </c>
      <c r="H21" s="197" t="s">
        <v>2439</v>
      </c>
      <c r="I21" s="197" t="s">
        <v>2440</v>
      </c>
      <c r="J21" s="197" t="s">
        <v>2748</v>
      </c>
      <c r="K21" s="197" t="s">
        <v>900</v>
      </c>
      <c r="L21" s="197" t="s">
        <v>2489</v>
      </c>
      <c r="M21" s="197" t="s">
        <v>3386</v>
      </c>
      <c r="N21" s="128">
        <v>19.0</v>
      </c>
      <c r="O21" s="128" t="s">
        <v>92</v>
      </c>
    </row>
    <row r="22" ht="37.5" customHeight="1">
      <c r="A22" s="13"/>
      <c r="B22" s="128" t="s">
        <v>3387</v>
      </c>
      <c r="C22" s="128">
        <v>29.0</v>
      </c>
      <c r="D22" s="128" t="s">
        <v>94</v>
      </c>
      <c r="E22" s="128" t="s">
        <v>17</v>
      </c>
      <c r="F22" s="128">
        <v>21.0</v>
      </c>
      <c r="G22" s="128" t="s">
        <v>2423</v>
      </c>
      <c r="H22" s="197" t="s">
        <v>2439</v>
      </c>
      <c r="I22" s="197" t="s">
        <v>2440</v>
      </c>
      <c r="J22" s="197" t="s">
        <v>2784</v>
      </c>
      <c r="K22" s="197" t="s">
        <v>3388</v>
      </c>
      <c r="L22" s="197" t="s">
        <v>2533</v>
      </c>
      <c r="M22" s="197" t="s">
        <v>3389</v>
      </c>
      <c r="N22" s="128">
        <v>20.0</v>
      </c>
      <c r="O22" s="128" t="s">
        <v>92</v>
      </c>
    </row>
    <row r="23" ht="37.5" customHeight="1">
      <c r="A23" s="13"/>
      <c r="B23" s="128" t="s">
        <v>3390</v>
      </c>
      <c r="C23" s="128">
        <v>29.0</v>
      </c>
      <c r="D23" s="128" t="s">
        <v>89</v>
      </c>
      <c r="E23" s="128" t="s">
        <v>17</v>
      </c>
      <c r="F23" s="128">
        <v>30.0</v>
      </c>
      <c r="G23" s="128" t="s">
        <v>2423</v>
      </c>
      <c r="H23" s="197" t="s">
        <v>2439</v>
      </c>
      <c r="I23" s="197" t="s">
        <v>2440</v>
      </c>
      <c r="J23" s="197" t="s">
        <v>898</v>
      </c>
      <c r="K23" s="197" t="s">
        <v>1653</v>
      </c>
      <c r="L23" s="197" t="s">
        <v>1065</v>
      </c>
      <c r="M23" s="197" t="s">
        <v>3391</v>
      </c>
      <c r="N23" s="128">
        <v>21.0</v>
      </c>
      <c r="O23" s="128" t="s">
        <v>92</v>
      </c>
    </row>
    <row r="24" ht="37.5" customHeight="1">
      <c r="A24" s="13"/>
      <c r="B24" s="128" t="s">
        <v>3392</v>
      </c>
      <c r="C24" s="128">
        <v>25.0</v>
      </c>
      <c r="D24" s="128" t="s">
        <v>65</v>
      </c>
      <c r="E24" s="128" t="s">
        <v>17</v>
      </c>
      <c r="F24" s="128">
        <v>22.0</v>
      </c>
      <c r="G24" s="128" t="s">
        <v>2423</v>
      </c>
      <c r="H24" s="197" t="s">
        <v>2439</v>
      </c>
      <c r="I24" s="197" t="s">
        <v>2440</v>
      </c>
      <c r="J24" s="197" t="s">
        <v>3393</v>
      </c>
      <c r="K24" s="197" t="s">
        <v>987</v>
      </c>
      <c r="L24" s="197" t="s">
        <v>1067</v>
      </c>
      <c r="M24" s="197" t="s">
        <v>3394</v>
      </c>
      <c r="N24" s="128">
        <v>22.0</v>
      </c>
      <c r="O24" s="128" t="s">
        <v>92</v>
      </c>
    </row>
    <row r="25" ht="37.5" customHeight="1">
      <c r="A25" s="13"/>
      <c r="B25" s="128" t="s">
        <v>3395</v>
      </c>
      <c r="C25" s="128">
        <v>29.0</v>
      </c>
      <c r="D25" s="128" t="s">
        <v>73</v>
      </c>
      <c r="E25" s="128" t="s">
        <v>24</v>
      </c>
      <c r="F25" s="128">
        <v>63.0</v>
      </c>
      <c r="G25" s="128" t="s">
        <v>2423</v>
      </c>
      <c r="H25" s="197" t="s">
        <v>2439</v>
      </c>
      <c r="I25" s="197" t="s">
        <v>2440</v>
      </c>
      <c r="J25" s="197" t="s">
        <v>1548</v>
      </c>
      <c r="K25" s="197" t="s">
        <v>3396</v>
      </c>
      <c r="L25" s="197" t="s">
        <v>2600</v>
      </c>
      <c r="M25" s="197" t="s">
        <v>3397</v>
      </c>
      <c r="N25" s="128">
        <v>23.0</v>
      </c>
      <c r="O25" s="128" t="s">
        <v>92</v>
      </c>
    </row>
    <row r="26" ht="37.5" customHeight="1">
      <c r="A26" s="13"/>
      <c r="B26" s="128" t="s">
        <v>3398</v>
      </c>
      <c r="C26" s="128">
        <v>29.0</v>
      </c>
      <c r="D26" s="128" t="s">
        <v>73</v>
      </c>
      <c r="E26" s="128" t="s">
        <v>17</v>
      </c>
      <c r="F26" s="128">
        <v>21.0</v>
      </c>
      <c r="G26" s="128" t="s">
        <v>2423</v>
      </c>
      <c r="H26" s="197" t="s">
        <v>2439</v>
      </c>
      <c r="I26" s="197" t="s">
        <v>2440</v>
      </c>
      <c r="J26" s="197" t="s">
        <v>1548</v>
      </c>
      <c r="K26" s="197" t="s">
        <v>1584</v>
      </c>
      <c r="L26" s="197" t="s">
        <v>2543</v>
      </c>
      <c r="M26" s="197" t="s">
        <v>3399</v>
      </c>
      <c r="N26" s="128">
        <v>24.0</v>
      </c>
      <c r="O26" s="128" t="s">
        <v>92</v>
      </c>
    </row>
    <row r="27" ht="37.5" customHeight="1">
      <c r="A27" s="13"/>
      <c r="B27" s="128" t="s">
        <v>3400</v>
      </c>
      <c r="C27" s="128">
        <v>29.0</v>
      </c>
      <c r="D27" s="128" t="s">
        <v>65</v>
      </c>
      <c r="E27" s="128" t="s">
        <v>24</v>
      </c>
      <c r="F27" s="128">
        <v>63.0</v>
      </c>
      <c r="G27" s="128" t="s">
        <v>2423</v>
      </c>
      <c r="H27" s="197" t="s">
        <v>2439</v>
      </c>
      <c r="I27" s="197" t="s">
        <v>2440</v>
      </c>
      <c r="J27" s="197" t="s">
        <v>3401</v>
      </c>
      <c r="K27" s="197" t="s">
        <v>3402</v>
      </c>
      <c r="L27" s="197" t="s">
        <v>2905</v>
      </c>
      <c r="M27" s="197" t="s">
        <v>3403</v>
      </c>
      <c r="N27" s="128">
        <v>25.0</v>
      </c>
      <c r="O27" s="128" t="s">
        <v>120</v>
      </c>
    </row>
    <row r="28" ht="37.5" customHeight="1">
      <c r="A28" s="13"/>
      <c r="B28" s="128" t="s">
        <v>3404</v>
      </c>
      <c r="C28" s="128">
        <v>29.0</v>
      </c>
      <c r="D28" s="128" t="s">
        <v>157</v>
      </c>
      <c r="E28" s="128" t="s">
        <v>17</v>
      </c>
      <c r="F28" s="128">
        <v>44.0</v>
      </c>
      <c r="G28" s="128" t="s">
        <v>2423</v>
      </c>
      <c r="H28" s="197" t="s">
        <v>2439</v>
      </c>
      <c r="I28" s="197" t="s">
        <v>2440</v>
      </c>
      <c r="J28" s="197" t="s">
        <v>898</v>
      </c>
      <c r="K28" s="197" t="s">
        <v>3405</v>
      </c>
      <c r="L28" s="197" t="s">
        <v>2457</v>
      </c>
      <c r="M28" s="197" t="s">
        <v>3406</v>
      </c>
      <c r="N28" s="128">
        <v>26.0</v>
      </c>
      <c r="O28" s="128" t="s">
        <v>120</v>
      </c>
    </row>
    <row r="29" ht="37.5" customHeight="1">
      <c r="A29" s="13"/>
      <c r="B29" s="128" t="s">
        <v>3407</v>
      </c>
      <c r="C29" s="128">
        <v>29.0</v>
      </c>
      <c r="D29" s="128" t="s">
        <v>83</v>
      </c>
      <c r="E29" s="128" t="s">
        <v>17</v>
      </c>
      <c r="F29" s="128">
        <v>24.0</v>
      </c>
      <c r="G29" s="128" t="s">
        <v>2423</v>
      </c>
      <c r="H29" s="197" t="s">
        <v>2439</v>
      </c>
      <c r="I29" s="197" t="s">
        <v>2440</v>
      </c>
      <c r="J29" s="197" t="s">
        <v>898</v>
      </c>
      <c r="K29" s="197" t="s">
        <v>2591</v>
      </c>
      <c r="L29" s="197" t="s">
        <v>307</v>
      </c>
      <c r="M29" s="197" t="s">
        <v>3408</v>
      </c>
      <c r="N29" s="128">
        <v>27.0</v>
      </c>
      <c r="O29" s="128" t="s">
        <v>120</v>
      </c>
    </row>
    <row r="30" ht="37.5" customHeight="1">
      <c r="A30" s="128"/>
      <c r="B30" s="128" t="s">
        <v>3409</v>
      </c>
      <c r="C30" s="128">
        <v>28.0</v>
      </c>
      <c r="D30" s="128" t="s">
        <v>83</v>
      </c>
      <c r="E30" s="128" t="s">
        <v>16</v>
      </c>
      <c r="F30" s="128">
        <v>37.0</v>
      </c>
      <c r="G30" s="128" t="s">
        <v>2423</v>
      </c>
      <c r="H30" s="197" t="s">
        <v>2439</v>
      </c>
      <c r="I30" s="197" t="s">
        <v>2440</v>
      </c>
      <c r="J30" s="197" t="s">
        <v>3410</v>
      </c>
      <c r="K30" s="197" t="s">
        <v>3411</v>
      </c>
      <c r="L30" s="197" t="s">
        <v>2628</v>
      </c>
      <c r="M30" s="197" t="s">
        <v>3412</v>
      </c>
      <c r="N30" s="128">
        <v>28.0</v>
      </c>
      <c r="O30" s="128" t="s">
        <v>120</v>
      </c>
    </row>
    <row r="31" ht="37.5" customHeight="1">
      <c r="A31" s="13"/>
      <c r="B31" s="128" t="s">
        <v>2055</v>
      </c>
      <c r="C31" s="128">
        <v>29.0</v>
      </c>
      <c r="D31" s="128" t="s">
        <v>65</v>
      </c>
      <c r="E31" s="128" t="s">
        <v>16</v>
      </c>
      <c r="F31" s="128">
        <v>45.0</v>
      </c>
      <c r="G31" s="128" t="s">
        <v>2423</v>
      </c>
      <c r="H31" s="197" t="s">
        <v>2439</v>
      </c>
      <c r="I31" s="197" t="s">
        <v>2440</v>
      </c>
      <c r="J31" s="197" t="s">
        <v>3413</v>
      </c>
      <c r="K31" s="197" t="s">
        <v>3260</v>
      </c>
      <c r="L31" s="197" t="s">
        <v>1524</v>
      </c>
      <c r="M31" s="197" t="s">
        <v>3414</v>
      </c>
      <c r="N31" s="128">
        <v>29.0</v>
      </c>
      <c r="O31" s="128" t="s">
        <v>120</v>
      </c>
    </row>
    <row r="32" ht="37.5" customHeight="1">
      <c r="A32" s="14"/>
      <c r="B32" s="128" t="s">
        <v>3415</v>
      </c>
      <c r="C32" s="128">
        <v>29.0</v>
      </c>
      <c r="D32" s="128" t="s">
        <v>65</v>
      </c>
      <c r="E32" s="128" t="s">
        <v>32</v>
      </c>
      <c r="F32" s="128">
        <v>42.0</v>
      </c>
      <c r="G32" s="128" t="s">
        <v>2423</v>
      </c>
      <c r="H32" s="197" t="s">
        <v>2439</v>
      </c>
      <c r="I32" s="197" t="s">
        <v>2440</v>
      </c>
      <c r="J32" s="197" t="s">
        <v>2606</v>
      </c>
      <c r="K32" s="197" t="s">
        <v>987</v>
      </c>
      <c r="L32" s="197" t="s">
        <v>2457</v>
      </c>
      <c r="M32" s="197" t="s">
        <v>3416</v>
      </c>
      <c r="N32" s="128">
        <v>30.0</v>
      </c>
      <c r="O32" s="128" t="s">
        <v>120</v>
      </c>
    </row>
    <row r="33" ht="37.5" customHeight="1">
      <c r="A33" s="13"/>
      <c r="B33" s="128" t="s">
        <v>3417</v>
      </c>
      <c r="C33" s="128">
        <v>29.0</v>
      </c>
      <c r="D33" s="128" t="s">
        <v>73</v>
      </c>
      <c r="E33" s="128" t="s">
        <v>3354</v>
      </c>
      <c r="F33" s="128">
        <v>70.0</v>
      </c>
      <c r="G33" s="128" t="s">
        <v>2423</v>
      </c>
      <c r="H33" s="197" t="s">
        <v>2439</v>
      </c>
      <c r="I33" s="197" t="s">
        <v>2440</v>
      </c>
      <c r="J33" s="197" t="s">
        <v>3418</v>
      </c>
      <c r="K33" s="197" t="s">
        <v>3419</v>
      </c>
      <c r="L33" s="197" t="s">
        <v>1083</v>
      </c>
      <c r="M33" s="197" t="s">
        <v>3420</v>
      </c>
      <c r="N33" s="128">
        <v>31.0</v>
      </c>
      <c r="O33" s="128" t="s">
        <v>120</v>
      </c>
    </row>
    <row r="34" ht="37.5" customHeight="1">
      <c r="A34" s="13"/>
      <c r="B34" s="128" t="s">
        <v>546</v>
      </c>
      <c r="C34" s="128">
        <v>27.0</v>
      </c>
      <c r="D34" s="128" t="s">
        <v>157</v>
      </c>
      <c r="E34" s="128" t="s">
        <v>16</v>
      </c>
      <c r="F34" s="128">
        <v>36.0</v>
      </c>
      <c r="G34" s="128" t="s">
        <v>2423</v>
      </c>
      <c r="H34" s="197" t="s">
        <v>2439</v>
      </c>
      <c r="I34" s="197" t="s">
        <v>2440</v>
      </c>
      <c r="J34" s="197" t="s">
        <v>3421</v>
      </c>
      <c r="K34" s="197" t="s">
        <v>3422</v>
      </c>
      <c r="L34" s="197" t="s">
        <v>2692</v>
      </c>
      <c r="M34" s="197" t="s">
        <v>3423</v>
      </c>
      <c r="N34" s="128">
        <v>32.0</v>
      </c>
      <c r="O34" s="128" t="s">
        <v>120</v>
      </c>
    </row>
    <row r="35" ht="37.5" customHeight="1">
      <c r="A35" s="14"/>
      <c r="B35" s="128" t="s">
        <v>3424</v>
      </c>
      <c r="C35" s="128">
        <v>29.0</v>
      </c>
      <c r="D35" s="128" t="s">
        <v>157</v>
      </c>
      <c r="E35" s="128" t="s">
        <v>13</v>
      </c>
      <c r="F35" s="128">
        <v>43.0</v>
      </c>
      <c r="G35" s="128" t="s">
        <v>2423</v>
      </c>
      <c r="H35" s="197" t="s">
        <v>2439</v>
      </c>
      <c r="I35" s="197" t="s">
        <v>2440</v>
      </c>
      <c r="J35" s="197" t="s">
        <v>3425</v>
      </c>
      <c r="K35" s="197" t="s">
        <v>3426</v>
      </c>
      <c r="L35" s="197" t="s">
        <v>2432</v>
      </c>
      <c r="M35" s="197" t="s">
        <v>3427</v>
      </c>
      <c r="N35" s="128">
        <v>33.0</v>
      </c>
      <c r="O35" s="128" t="s">
        <v>120</v>
      </c>
    </row>
    <row r="36" ht="37.5" customHeight="1">
      <c r="A36" s="13"/>
      <c r="B36" s="128" t="s">
        <v>3428</v>
      </c>
      <c r="C36" s="128">
        <v>29.0</v>
      </c>
      <c r="D36" s="128" t="s">
        <v>157</v>
      </c>
      <c r="E36" s="128" t="s">
        <v>17</v>
      </c>
      <c r="F36" s="128">
        <v>24.0</v>
      </c>
      <c r="G36" s="128" t="s">
        <v>2423</v>
      </c>
      <c r="H36" s="197" t="s">
        <v>2439</v>
      </c>
      <c r="I36" s="197" t="s">
        <v>2440</v>
      </c>
      <c r="J36" s="197" t="s">
        <v>3429</v>
      </c>
      <c r="K36" s="197" t="s">
        <v>3430</v>
      </c>
      <c r="L36" s="197" t="s">
        <v>1075</v>
      </c>
      <c r="M36" s="197" t="s">
        <v>3431</v>
      </c>
      <c r="N36" s="128">
        <v>34.0</v>
      </c>
      <c r="O36" s="128" t="s">
        <v>120</v>
      </c>
    </row>
    <row r="37" ht="37.5" customHeight="1">
      <c r="A37" s="13"/>
      <c r="B37" s="128" t="s">
        <v>3432</v>
      </c>
      <c r="C37" s="128">
        <v>29.0</v>
      </c>
      <c r="D37" s="128" t="s">
        <v>94</v>
      </c>
      <c r="E37" s="128" t="s">
        <v>13</v>
      </c>
      <c r="F37" s="128">
        <v>43.0</v>
      </c>
      <c r="G37" s="128" t="s">
        <v>2423</v>
      </c>
      <c r="H37" s="197" t="s">
        <v>2439</v>
      </c>
      <c r="I37" s="197" t="s">
        <v>2440</v>
      </c>
      <c r="J37" s="197" t="s">
        <v>970</v>
      </c>
      <c r="K37" s="197" t="s">
        <v>900</v>
      </c>
      <c r="L37" s="197" t="s">
        <v>895</v>
      </c>
      <c r="M37" s="197" t="s">
        <v>3433</v>
      </c>
      <c r="N37" s="128">
        <v>35.0</v>
      </c>
      <c r="O37" s="128" t="s">
        <v>120</v>
      </c>
    </row>
    <row r="38" ht="37.5" customHeight="1">
      <c r="A38" s="13"/>
      <c r="B38" s="128" t="s">
        <v>3434</v>
      </c>
      <c r="C38" s="128">
        <v>22.0</v>
      </c>
      <c r="D38" s="128" t="s">
        <v>89</v>
      </c>
      <c r="E38" s="128" t="s">
        <v>24</v>
      </c>
      <c r="F38" s="128">
        <v>64.0</v>
      </c>
      <c r="G38" s="128" t="s">
        <v>2597</v>
      </c>
      <c r="H38" s="197" t="s">
        <v>2439</v>
      </c>
      <c r="I38" s="197" t="s">
        <v>2440</v>
      </c>
      <c r="J38" s="197" t="s">
        <v>3435</v>
      </c>
      <c r="K38" s="197" t="s">
        <v>3436</v>
      </c>
      <c r="L38" s="197" t="s">
        <v>1085</v>
      </c>
      <c r="M38" s="197" t="s">
        <v>3437</v>
      </c>
      <c r="N38" s="128">
        <v>36.0</v>
      </c>
      <c r="O38" s="128" t="s">
        <v>136</v>
      </c>
    </row>
    <row r="39" ht="37.5" customHeight="1">
      <c r="A39" s="13"/>
      <c r="B39" s="128" t="s">
        <v>615</v>
      </c>
      <c r="C39" s="128">
        <v>27.0</v>
      </c>
      <c r="D39" s="128" t="s">
        <v>83</v>
      </c>
      <c r="E39" s="128" t="s">
        <v>13</v>
      </c>
      <c r="F39" s="128">
        <v>50.0</v>
      </c>
      <c r="G39" s="128" t="s">
        <v>2423</v>
      </c>
      <c r="H39" s="197" t="s">
        <v>2439</v>
      </c>
      <c r="I39" s="197" t="s">
        <v>2440</v>
      </c>
      <c r="J39" s="197" t="s">
        <v>3438</v>
      </c>
      <c r="K39" s="197" t="s">
        <v>3439</v>
      </c>
      <c r="L39" s="197" t="s">
        <v>1087</v>
      </c>
      <c r="M39" s="197" t="s">
        <v>3440</v>
      </c>
      <c r="N39" s="128">
        <v>37.0</v>
      </c>
      <c r="O39" s="128" t="s">
        <v>136</v>
      </c>
    </row>
    <row r="40" ht="37.5" customHeight="1">
      <c r="A40" s="13"/>
      <c r="B40" s="128" t="s">
        <v>3441</v>
      </c>
      <c r="C40" s="128">
        <v>29.0</v>
      </c>
      <c r="D40" s="128" t="s">
        <v>65</v>
      </c>
      <c r="E40" s="128" t="s">
        <v>17</v>
      </c>
      <c r="F40" s="128">
        <v>30.0</v>
      </c>
      <c r="G40" s="128" t="s">
        <v>2423</v>
      </c>
      <c r="H40" s="197" t="s">
        <v>2439</v>
      </c>
      <c r="I40" s="197" t="s">
        <v>2440</v>
      </c>
      <c r="J40" s="197" t="s">
        <v>2886</v>
      </c>
      <c r="K40" s="197" t="s">
        <v>2537</v>
      </c>
      <c r="L40" s="197" t="s">
        <v>2508</v>
      </c>
      <c r="M40" s="197" t="s">
        <v>3442</v>
      </c>
      <c r="N40" s="128">
        <v>38.0</v>
      </c>
      <c r="O40" s="128" t="s">
        <v>136</v>
      </c>
    </row>
    <row r="41" ht="37.5" customHeight="1">
      <c r="A41" s="13"/>
      <c r="B41" s="128" t="s">
        <v>3443</v>
      </c>
      <c r="C41" s="128">
        <v>29.0</v>
      </c>
      <c r="D41" s="128" t="s">
        <v>157</v>
      </c>
      <c r="E41" s="128" t="s">
        <v>24</v>
      </c>
      <c r="F41" s="128">
        <v>60.0</v>
      </c>
      <c r="G41" s="128" t="s">
        <v>2423</v>
      </c>
      <c r="H41" s="197" t="s">
        <v>2439</v>
      </c>
      <c r="I41" s="197" t="s">
        <v>2440</v>
      </c>
      <c r="J41" s="197" t="s">
        <v>269</v>
      </c>
      <c r="K41" s="197" t="s">
        <v>986</v>
      </c>
      <c r="L41" s="197" t="s">
        <v>2457</v>
      </c>
      <c r="M41" s="197" t="s">
        <v>3444</v>
      </c>
      <c r="N41" s="128">
        <v>39.0</v>
      </c>
      <c r="O41" s="128" t="s">
        <v>136</v>
      </c>
    </row>
    <row r="42" ht="37.5" customHeight="1">
      <c r="A42" s="13"/>
      <c r="B42" s="128" t="s">
        <v>3445</v>
      </c>
      <c r="C42" s="128">
        <v>24.0</v>
      </c>
      <c r="D42" s="128" t="s">
        <v>157</v>
      </c>
      <c r="E42" s="128" t="s">
        <v>24</v>
      </c>
      <c r="F42" s="128">
        <v>49.0</v>
      </c>
      <c r="G42" s="128" t="s">
        <v>2423</v>
      </c>
      <c r="H42" s="197" t="s">
        <v>2439</v>
      </c>
      <c r="I42" s="197" t="s">
        <v>2440</v>
      </c>
      <c r="J42" s="197" t="s">
        <v>3446</v>
      </c>
      <c r="K42" s="197" t="s">
        <v>3447</v>
      </c>
      <c r="L42" s="197" t="s">
        <v>1073</v>
      </c>
      <c r="M42" s="197" t="s">
        <v>3448</v>
      </c>
      <c r="N42" s="128">
        <v>40.0</v>
      </c>
      <c r="O42" s="128" t="s">
        <v>167</v>
      </c>
    </row>
    <row r="43" ht="37.5" customHeight="1">
      <c r="A43" s="13"/>
      <c r="B43" s="128" t="s">
        <v>3449</v>
      </c>
      <c r="C43" s="128">
        <v>29.0</v>
      </c>
      <c r="D43" s="128" t="s">
        <v>157</v>
      </c>
      <c r="E43" s="128" t="s">
        <v>16</v>
      </c>
      <c r="F43" s="128">
        <v>31.0</v>
      </c>
      <c r="G43" s="128" t="s">
        <v>2423</v>
      </c>
      <c r="H43" s="197" t="s">
        <v>2439</v>
      </c>
      <c r="I43" s="197" t="s">
        <v>2440</v>
      </c>
      <c r="J43" s="197" t="s">
        <v>3450</v>
      </c>
      <c r="K43" s="197" t="s">
        <v>3451</v>
      </c>
      <c r="L43" s="197" t="s">
        <v>3134</v>
      </c>
      <c r="M43" s="197" t="s">
        <v>3452</v>
      </c>
      <c r="N43" s="128">
        <v>41.0</v>
      </c>
      <c r="O43" s="128" t="s">
        <v>167</v>
      </c>
    </row>
    <row r="44" ht="37.5" customHeight="1">
      <c r="A44" s="13"/>
      <c r="B44" s="128" t="s">
        <v>3453</v>
      </c>
      <c r="C44" s="128">
        <v>23.0</v>
      </c>
      <c r="D44" s="128" t="s">
        <v>89</v>
      </c>
      <c r="E44" s="128" t="s">
        <v>16</v>
      </c>
      <c r="F44" s="128">
        <v>34.0</v>
      </c>
      <c r="G44" s="128" t="s">
        <v>2597</v>
      </c>
      <c r="H44" s="197" t="s">
        <v>2439</v>
      </c>
      <c r="I44" s="197" t="s">
        <v>2440</v>
      </c>
      <c r="J44" s="197" t="s">
        <v>3454</v>
      </c>
      <c r="K44" s="197" t="s">
        <v>3455</v>
      </c>
      <c r="L44" s="197" t="s">
        <v>1527</v>
      </c>
      <c r="M44" s="197" t="s">
        <v>3456</v>
      </c>
      <c r="N44" s="128">
        <v>42.0</v>
      </c>
      <c r="O44" s="128" t="s">
        <v>423</v>
      </c>
    </row>
    <row r="45" ht="37.5" customHeight="1">
      <c r="A45" s="13"/>
      <c r="B45" s="128" t="s">
        <v>842</v>
      </c>
      <c r="C45" s="128">
        <v>26.0</v>
      </c>
      <c r="D45" s="128" t="s">
        <v>83</v>
      </c>
      <c r="E45" s="128" t="s">
        <v>13</v>
      </c>
      <c r="F45" s="128">
        <v>36.0</v>
      </c>
      <c r="G45" s="128" t="s">
        <v>2423</v>
      </c>
      <c r="H45" s="197" t="s">
        <v>2439</v>
      </c>
      <c r="I45" s="197" t="s">
        <v>2440</v>
      </c>
      <c r="J45" s="197" t="s">
        <v>3457</v>
      </c>
      <c r="K45" s="197" t="s">
        <v>3458</v>
      </c>
      <c r="L45" s="197" t="s">
        <v>279</v>
      </c>
      <c r="M45" s="197" t="s">
        <v>3459</v>
      </c>
      <c r="N45" s="128">
        <v>43.0</v>
      </c>
      <c r="O45" s="128" t="s">
        <v>423</v>
      </c>
    </row>
    <row r="46" ht="37.5" customHeight="1">
      <c r="A46" s="13"/>
      <c r="B46" s="128" t="s">
        <v>3460</v>
      </c>
      <c r="C46" s="128">
        <v>14.0</v>
      </c>
      <c r="D46" s="128" t="s">
        <v>73</v>
      </c>
      <c r="E46" s="128" t="s">
        <v>16</v>
      </c>
      <c r="F46" s="128">
        <v>38.0</v>
      </c>
      <c r="G46" s="128" t="s">
        <v>2597</v>
      </c>
      <c r="H46" s="197" t="s">
        <v>2439</v>
      </c>
      <c r="I46" s="197" t="s">
        <v>2440</v>
      </c>
      <c r="J46" s="197" t="s">
        <v>3461</v>
      </c>
      <c r="K46" s="197" t="s">
        <v>3462</v>
      </c>
      <c r="L46" s="197" t="s">
        <v>2628</v>
      </c>
      <c r="M46" s="197" t="s">
        <v>3463</v>
      </c>
      <c r="N46" s="128">
        <v>44.0</v>
      </c>
      <c r="O46" s="128" t="s">
        <v>423</v>
      </c>
    </row>
    <row r="47" ht="37.5" customHeight="1">
      <c r="A47" s="13"/>
      <c r="B47" s="128" t="s">
        <v>3464</v>
      </c>
      <c r="C47" s="128">
        <v>16.0</v>
      </c>
      <c r="D47" s="128" t="s">
        <v>94</v>
      </c>
      <c r="E47" s="128" t="s">
        <v>24</v>
      </c>
      <c r="F47" s="128">
        <v>45.0</v>
      </c>
      <c r="G47" s="128" t="s">
        <v>2597</v>
      </c>
      <c r="H47" s="197" t="s">
        <v>2439</v>
      </c>
      <c r="I47" s="197" t="s">
        <v>2440</v>
      </c>
      <c r="J47" s="197" t="s">
        <v>2613</v>
      </c>
      <c r="K47" s="197" t="s">
        <v>247</v>
      </c>
      <c r="L47" s="197" t="s">
        <v>2600</v>
      </c>
      <c r="M47" s="197" t="s">
        <v>3465</v>
      </c>
      <c r="N47" s="128">
        <v>45.0</v>
      </c>
      <c r="O47" s="128" t="s">
        <v>423</v>
      </c>
    </row>
    <row r="48" ht="37.5" customHeight="1">
      <c r="A48" s="13"/>
      <c r="B48" s="128" t="s">
        <v>3466</v>
      </c>
      <c r="C48" s="128">
        <v>10.0</v>
      </c>
      <c r="D48" s="128" t="s">
        <v>89</v>
      </c>
      <c r="E48" s="128" t="s">
        <v>24</v>
      </c>
      <c r="F48" s="128">
        <v>70.0</v>
      </c>
      <c r="G48" s="128" t="s">
        <v>2597</v>
      </c>
      <c r="H48" s="197" t="s">
        <v>3467</v>
      </c>
      <c r="I48" s="197" t="s">
        <v>2440</v>
      </c>
      <c r="J48" s="197" t="s">
        <v>3461</v>
      </c>
      <c r="K48" s="197" t="s">
        <v>3323</v>
      </c>
      <c r="L48" s="197" t="s">
        <v>75</v>
      </c>
      <c r="M48" s="197" t="s">
        <v>3468</v>
      </c>
      <c r="N48" s="128">
        <v>46.0</v>
      </c>
      <c r="O48" s="128" t="s">
        <v>423</v>
      </c>
    </row>
    <row r="49" ht="37.5" customHeight="1">
      <c r="A49" s="13"/>
      <c r="B49" s="128" t="s">
        <v>786</v>
      </c>
      <c r="C49" s="128">
        <v>26.0</v>
      </c>
      <c r="D49" s="128" t="s">
        <v>89</v>
      </c>
      <c r="E49" s="128" t="s">
        <v>16</v>
      </c>
      <c r="F49" s="128">
        <v>33.0</v>
      </c>
      <c r="G49" s="128" t="s">
        <v>2423</v>
      </c>
      <c r="H49" s="197" t="s">
        <v>2439</v>
      </c>
      <c r="I49" s="197" t="s">
        <v>2440</v>
      </c>
      <c r="J49" s="197" t="s">
        <v>3469</v>
      </c>
      <c r="K49" s="197" t="s">
        <v>1038</v>
      </c>
      <c r="L49" s="197" t="s">
        <v>1534</v>
      </c>
      <c r="M49" s="197" t="s">
        <v>3470</v>
      </c>
      <c r="N49" s="128">
        <v>47.0</v>
      </c>
      <c r="O49" s="128" t="s">
        <v>423</v>
      </c>
    </row>
    <row r="50" ht="37.5" customHeight="1">
      <c r="A50" s="13"/>
      <c r="B50" s="128" t="s">
        <v>3471</v>
      </c>
      <c r="C50" s="128">
        <v>14.0</v>
      </c>
      <c r="D50" s="128" t="s">
        <v>65</v>
      </c>
      <c r="E50" s="128" t="s">
        <v>24</v>
      </c>
      <c r="F50" s="128">
        <v>40.0</v>
      </c>
      <c r="G50" s="128" t="s">
        <v>2597</v>
      </c>
      <c r="H50" s="197" t="s">
        <v>2439</v>
      </c>
      <c r="I50" s="197" t="s">
        <v>2440</v>
      </c>
      <c r="J50" s="197" t="s">
        <v>970</v>
      </c>
      <c r="K50" s="197" t="s">
        <v>1587</v>
      </c>
      <c r="L50" s="197" t="s">
        <v>75</v>
      </c>
      <c r="M50" s="197" t="s">
        <v>3472</v>
      </c>
      <c r="N50" s="128">
        <v>48.0</v>
      </c>
      <c r="O50" s="128" t="s">
        <v>447</v>
      </c>
    </row>
    <row r="51" ht="37.5" customHeight="1">
      <c r="A51" s="13"/>
      <c r="B51" s="128" t="s">
        <v>3473</v>
      </c>
      <c r="C51" s="128">
        <v>29.0</v>
      </c>
      <c r="D51" s="128" t="s">
        <v>157</v>
      </c>
      <c r="E51" s="128" t="s">
        <v>16</v>
      </c>
      <c r="F51" s="128">
        <v>34.0</v>
      </c>
      <c r="G51" s="128" t="s">
        <v>2423</v>
      </c>
      <c r="H51" s="197" t="s">
        <v>2439</v>
      </c>
      <c r="I51" s="197" t="s">
        <v>2440</v>
      </c>
      <c r="J51" s="197" t="s">
        <v>3474</v>
      </c>
      <c r="K51" s="197" t="s">
        <v>3475</v>
      </c>
      <c r="L51" s="197" t="s">
        <v>1084</v>
      </c>
      <c r="M51" s="197" t="s">
        <v>3476</v>
      </c>
      <c r="N51" s="128">
        <v>49.0</v>
      </c>
      <c r="O51" s="128" t="s">
        <v>447</v>
      </c>
    </row>
    <row r="52" ht="37.5" customHeight="1">
      <c r="A52" s="13"/>
      <c r="B52" s="128" t="s">
        <v>3477</v>
      </c>
      <c r="C52" s="128">
        <v>13.0</v>
      </c>
      <c r="D52" s="128" t="s">
        <v>89</v>
      </c>
      <c r="E52" s="128" t="s">
        <v>16</v>
      </c>
      <c r="F52" s="128">
        <v>35.0</v>
      </c>
      <c r="G52" s="128" t="s">
        <v>2597</v>
      </c>
      <c r="H52" s="197" t="s">
        <v>2439</v>
      </c>
      <c r="I52" s="197" t="s">
        <v>2440</v>
      </c>
      <c r="J52" s="197" t="s">
        <v>3478</v>
      </c>
      <c r="K52" s="197" t="s">
        <v>247</v>
      </c>
      <c r="L52" s="197" t="s">
        <v>75</v>
      </c>
      <c r="M52" s="197" t="s">
        <v>3479</v>
      </c>
      <c r="N52" s="128">
        <v>50.0</v>
      </c>
      <c r="O52" s="128" t="s">
        <v>447</v>
      </c>
    </row>
    <row r="53" ht="37.5" customHeight="1">
      <c r="A53" s="13"/>
      <c r="B53" s="128" t="s">
        <v>3480</v>
      </c>
      <c r="C53" s="128">
        <v>18.0</v>
      </c>
      <c r="D53" s="128" t="s">
        <v>89</v>
      </c>
      <c r="E53" s="128" t="s">
        <v>13</v>
      </c>
      <c r="F53" s="128">
        <v>40.0</v>
      </c>
      <c r="G53" s="128" t="s">
        <v>2597</v>
      </c>
      <c r="H53" s="197" t="s">
        <v>2439</v>
      </c>
      <c r="I53" s="197" t="s">
        <v>2440</v>
      </c>
      <c r="J53" s="197" t="s">
        <v>3481</v>
      </c>
      <c r="K53" s="197" t="s">
        <v>1038</v>
      </c>
      <c r="L53" s="197" t="s">
        <v>2624</v>
      </c>
      <c r="M53" s="197" t="s">
        <v>3482</v>
      </c>
      <c r="N53" s="128">
        <v>51.0</v>
      </c>
      <c r="O53" s="128" t="s">
        <v>447</v>
      </c>
    </row>
    <row r="54" ht="37.5" customHeight="1">
      <c r="A54" s="13"/>
      <c r="B54" s="128" t="s">
        <v>3483</v>
      </c>
      <c r="C54" s="128">
        <v>17.0</v>
      </c>
      <c r="D54" s="128" t="s">
        <v>89</v>
      </c>
      <c r="E54" s="128" t="s">
        <v>17</v>
      </c>
      <c r="F54" s="128">
        <v>24.0</v>
      </c>
      <c r="G54" s="128" t="s">
        <v>2597</v>
      </c>
      <c r="H54" s="197" t="s">
        <v>2439</v>
      </c>
      <c r="I54" s="197" t="s">
        <v>2440</v>
      </c>
      <c r="J54" s="197" t="s">
        <v>970</v>
      </c>
      <c r="K54" s="197" t="s">
        <v>1643</v>
      </c>
      <c r="L54" s="197" t="s">
        <v>1527</v>
      </c>
      <c r="M54" s="197" t="s">
        <v>3484</v>
      </c>
      <c r="N54" s="128">
        <v>52.0</v>
      </c>
      <c r="O54" s="128" t="s">
        <v>447</v>
      </c>
    </row>
    <row r="55" ht="37.5" customHeight="1">
      <c r="A55" s="13"/>
      <c r="B55" s="128" t="s">
        <v>3485</v>
      </c>
      <c r="C55" s="128">
        <v>12.0</v>
      </c>
      <c r="D55" s="128" t="s">
        <v>89</v>
      </c>
      <c r="E55" s="128" t="s">
        <v>17</v>
      </c>
      <c r="F55" s="128">
        <v>22.0</v>
      </c>
      <c r="G55" s="128" t="s">
        <v>2597</v>
      </c>
      <c r="H55" s="197" t="s">
        <v>2439</v>
      </c>
      <c r="I55" s="197" t="s">
        <v>2440</v>
      </c>
      <c r="J55" s="197" t="s">
        <v>3486</v>
      </c>
      <c r="K55" s="197" t="s">
        <v>3487</v>
      </c>
      <c r="L55" s="197" t="s">
        <v>75</v>
      </c>
      <c r="M55" s="197" t="s">
        <v>3488</v>
      </c>
      <c r="N55" s="128">
        <v>53.0</v>
      </c>
      <c r="O55" s="128" t="s">
        <v>447</v>
      </c>
    </row>
  </sheetData>
  <autoFilter ref="$A$2:$O$55">
    <sortState ref="A2:O55">
      <sortCondition ref="N2:N55"/>
      <sortCondition ref="B2:B55"/>
    </sortState>
  </autoFilter>
  <mergeCells count="3">
    <mergeCell ref="A1:B1"/>
    <mergeCell ref="H1:L1"/>
    <mergeCell ref="M1:O1"/>
  </mergeCells>
  <conditionalFormatting sqref="D3:D55">
    <cfRule type="cellIs" dxfId="19" priority="1" operator="equal">
      <formula>"Kinetic"</formula>
    </cfRule>
  </conditionalFormatting>
  <conditionalFormatting sqref="O3:O55">
    <cfRule type="cellIs" dxfId="3" priority="2" operator="equal">
      <formula>"F"</formula>
    </cfRule>
  </conditionalFormatting>
  <conditionalFormatting sqref="O3:O55">
    <cfRule type="cellIs" dxfId="4" priority="3" operator="equal">
      <formula>"E"</formula>
    </cfRule>
  </conditionalFormatting>
  <conditionalFormatting sqref="N3:O55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55">
    <cfRule type="cellIs" dxfId="13" priority="5" operator="equal">
      <formula>"Solar"</formula>
    </cfRule>
  </conditionalFormatting>
  <conditionalFormatting sqref="D3:D55">
    <cfRule type="cellIs" dxfId="20" priority="6" operator="equal">
      <formula>"Arc"</formula>
    </cfRule>
  </conditionalFormatting>
  <conditionalFormatting sqref="D3:D55">
    <cfRule type="cellIs" dxfId="21" priority="7" operator="equal">
      <formula>"Stasis"</formula>
    </cfRule>
  </conditionalFormatting>
  <conditionalFormatting sqref="D3:D55">
    <cfRule type="cellIs" dxfId="18" priority="8" operator="equal">
      <formula>"Void"</formula>
    </cfRule>
  </conditionalFormatting>
  <conditionalFormatting sqref="D3:D55">
    <cfRule type="cellIs" dxfId="17" priority="9" operator="equal">
      <formula>"Strand"</formula>
    </cfRule>
  </conditionalFormatting>
  <conditionalFormatting sqref="G3:G55">
    <cfRule type="cellIs" dxfId="17" priority="10" operator="equal">
      <formula>"Yes"</formula>
    </cfRule>
  </conditionalFormatting>
  <conditionalFormatting sqref="G3:G55">
    <cfRule type="cellIs" dxfId="2" priority="11" operator="equal">
      <formula>"No"</formula>
    </cfRule>
  </conditionalFormatting>
  <conditionalFormatting sqref="O3:O55">
    <cfRule type="cellIs" dxfId="5" priority="12" operator="equal">
      <formula>"S"</formula>
    </cfRule>
  </conditionalFormatting>
  <conditionalFormatting sqref="O3:O55">
    <cfRule type="cellIs" dxfId="6" priority="13" operator="equal">
      <formula>"B"</formula>
    </cfRule>
  </conditionalFormatting>
  <conditionalFormatting sqref="O3:O55">
    <cfRule type="cellIs" dxfId="7" priority="14" operator="equal">
      <formula>"D"</formula>
    </cfRule>
  </conditionalFormatting>
  <conditionalFormatting sqref="O3:O55">
    <cfRule type="cellIs" dxfId="8" priority="15" operator="equal">
      <formula>"C"</formula>
    </cfRule>
  </conditionalFormatting>
  <conditionalFormatting sqref="O3:O55">
    <cfRule type="cellIs" dxfId="9" priority="16" operator="equal">
      <formula>"A"</formula>
    </cfRule>
  </conditionalFormatting>
  <conditionalFormatting sqref="F3:F55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55">
    <cfRule type="expression" dxfId="12" priority="18">
      <formula>$C3=MAX($C$3:$C55)</formula>
    </cfRule>
  </conditionalFormatting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7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/>
      <c r="I1" s="192"/>
      <c r="J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1178</v>
      </c>
      <c r="C3" s="128">
        <v>29.0</v>
      </c>
      <c r="D3" s="128" t="s">
        <v>94</v>
      </c>
      <c r="E3" s="14" t="s">
        <v>1996</v>
      </c>
      <c r="F3" s="128">
        <v>69.0</v>
      </c>
      <c r="G3" s="14" t="s">
        <v>2423</v>
      </c>
      <c r="H3" s="197" t="s">
        <v>3489</v>
      </c>
      <c r="I3" s="197" t="s">
        <v>3490</v>
      </c>
      <c r="J3" s="197" t="s">
        <v>3491</v>
      </c>
      <c r="K3" s="197" t="s">
        <v>3492</v>
      </c>
      <c r="L3" s="197" t="s">
        <v>1209</v>
      </c>
      <c r="M3" s="197" t="s">
        <v>3493</v>
      </c>
      <c r="N3" s="128">
        <v>1.0</v>
      </c>
      <c r="O3" s="128" t="s">
        <v>71</v>
      </c>
    </row>
    <row r="4" ht="37.5" customHeight="1">
      <c r="A4" s="14"/>
      <c r="B4" s="14" t="s">
        <v>3494</v>
      </c>
      <c r="C4" s="128">
        <v>29.0</v>
      </c>
      <c r="D4" s="14" t="s">
        <v>157</v>
      </c>
      <c r="E4" s="14" t="s">
        <v>1996</v>
      </c>
      <c r="F4" s="128">
        <v>58.0</v>
      </c>
      <c r="G4" s="128" t="s">
        <v>2423</v>
      </c>
      <c r="H4" s="197" t="s">
        <v>3489</v>
      </c>
      <c r="I4" s="197" t="s">
        <v>3490</v>
      </c>
      <c r="J4" s="198" t="s">
        <v>3495</v>
      </c>
      <c r="K4" s="198" t="s">
        <v>3496</v>
      </c>
      <c r="L4" s="198" t="s">
        <v>2457</v>
      </c>
      <c r="M4" s="197" t="s">
        <v>3497</v>
      </c>
      <c r="N4" s="128">
        <v>2.0</v>
      </c>
      <c r="O4" s="14" t="s">
        <v>71</v>
      </c>
    </row>
    <row r="5" ht="37.5" customHeight="1">
      <c r="A5" s="128"/>
      <c r="B5" s="128" t="s">
        <v>837</v>
      </c>
      <c r="C5" s="128">
        <v>29.0</v>
      </c>
      <c r="D5" s="14" t="s">
        <v>65</v>
      </c>
      <c r="E5" s="14" t="s">
        <v>1996</v>
      </c>
      <c r="F5" s="128">
        <v>70.0</v>
      </c>
      <c r="G5" s="14" t="s">
        <v>2423</v>
      </c>
      <c r="H5" s="197" t="s">
        <v>3489</v>
      </c>
      <c r="I5" s="197" t="s">
        <v>3490</v>
      </c>
      <c r="J5" s="197" t="s">
        <v>3498</v>
      </c>
      <c r="K5" s="197" t="s">
        <v>3499</v>
      </c>
      <c r="L5" s="197" t="s">
        <v>2436</v>
      </c>
      <c r="M5" s="197" t="s">
        <v>3500</v>
      </c>
      <c r="N5" s="128">
        <v>3.0</v>
      </c>
      <c r="O5" s="14" t="s">
        <v>71</v>
      </c>
    </row>
    <row r="6" ht="37.5" customHeight="1">
      <c r="A6" s="13"/>
      <c r="B6" s="128" t="s">
        <v>619</v>
      </c>
      <c r="C6" s="128">
        <v>27.0</v>
      </c>
      <c r="D6" s="128" t="s">
        <v>83</v>
      </c>
      <c r="E6" s="14" t="s">
        <v>1996</v>
      </c>
      <c r="F6" s="128">
        <v>69.0</v>
      </c>
      <c r="G6" s="14" t="s">
        <v>2423</v>
      </c>
      <c r="H6" s="197" t="s">
        <v>3489</v>
      </c>
      <c r="I6" s="197" t="s">
        <v>3490</v>
      </c>
      <c r="J6" s="197" t="s">
        <v>3501</v>
      </c>
      <c r="K6" s="197" t="s">
        <v>3502</v>
      </c>
      <c r="L6" s="197" t="s">
        <v>1070</v>
      </c>
      <c r="M6" s="197" t="s">
        <v>3503</v>
      </c>
      <c r="N6" s="128">
        <v>4.0</v>
      </c>
      <c r="O6" s="14" t="s">
        <v>71</v>
      </c>
    </row>
    <row r="7" ht="37.5" customHeight="1">
      <c r="A7" s="13"/>
      <c r="B7" s="128" t="s">
        <v>497</v>
      </c>
      <c r="C7" s="128">
        <v>28.0</v>
      </c>
      <c r="D7" s="128" t="s">
        <v>83</v>
      </c>
      <c r="E7" s="14" t="s">
        <v>2001</v>
      </c>
      <c r="F7" s="128">
        <v>70.0</v>
      </c>
      <c r="G7" s="14" t="s">
        <v>2423</v>
      </c>
      <c r="H7" s="197" t="s">
        <v>3489</v>
      </c>
      <c r="I7" s="197" t="s">
        <v>3504</v>
      </c>
      <c r="J7" s="197" t="s">
        <v>1819</v>
      </c>
      <c r="K7" s="197" t="s">
        <v>3505</v>
      </c>
      <c r="L7" s="197" t="s">
        <v>1527</v>
      </c>
      <c r="M7" s="197" t="s">
        <v>3506</v>
      </c>
      <c r="N7" s="128">
        <v>5.0</v>
      </c>
      <c r="O7" s="128" t="s">
        <v>71</v>
      </c>
    </row>
    <row r="8" ht="37.5" customHeight="1">
      <c r="A8" s="199"/>
      <c r="B8" s="128" t="s">
        <v>449</v>
      </c>
      <c r="C8" s="128">
        <v>28.0</v>
      </c>
      <c r="D8" s="128" t="s">
        <v>73</v>
      </c>
      <c r="E8" s="14" t="s">
        <v>1996</v>
      </c>
      <c r="F8" s="128">
        <v>59.0</v>
      </c>
      <c r="G8" s="128" t="s">
        <v>2423</v>
      </c>
      <c r="H8" s="197" t="s">
        <v>3489</v>
      </c>
      <c r="I8" s="197" t="s">
        <v>3490</v>
      </c>
      <c r="J8" s="197" t="s">
        <v>3507</v>
      </c>
      <c r="K8" s="197" t="s">
        <v>3508</v>
      </c>
      <c r="L8" s="197" t="s">
        <v>1081</v>
      </c>
      <c r="M8" s="197" t="s">
        <v>3509</v>
      </c>
      <c r="N8" s="128">
        <v>6.0</v>
      </c>
      <c r="O8" s="128" t="s">
        <v>71</v>
      </c>
    </row>
    <row r="9" ht="37.5" customHeight="1">
      <c r="A9" s="13"/>
      <c r="B9" s="14" t="s">
        <v>857</v>
      </c>
      <c r="C9" s="128">
        <v>29.0</v>
      </c>
      <c r="D9" s="14" t="s">
        <v>157</v>
      </c>
      <c r="E9" s="14" t="s">
        <v>1996</v>
      </c>
      <c r="F9" s="128">
        <v>63.0</v>
      </c>
      <c r="G9" s="14" t="s">
        <v>2423</v>
      </c>
      <c r="H9" s="197" t="s">
        <v>3489</v>
      </c>
      <c r="I9" s="197" t="s">
        <v>3490</v>
      </c>
      <c r="J9" s="198" t="s">
        <v>3510</v>
      </c>
      <c r="K9" s="198" t="s">
        <v>3511</v>
      </c>
      <c r="L9" s="198" t="s">
        <v>1077</v>
      </c>
      <c r="M9" s="197" t="s">
        <v>3512</v>
      </c>
      <c r="N9" s="128">
        <v>7.0</v>
      </c>
      <c r="O9" s="14" t="s">
        <v>71</v>
      </c>
    </row>
    <row r="10" ht="37.5" customHeight="1">
      <c r="A10" s="13"/>
      <c r="B10" s="128" t="s">
        <v>617</v>
      </c>
      <c r="C10" s="128">
        <v>27.0</v>
      </c>
      <c r="D10" s="14" t="s">
        <v>65</v>
      </c>
      <c r="E10" s="128" t="s">
        <v>2001</v>
      </c>
      <c r="F10" s="128">
        <v>69.0</v>
      </c>
      <c r="G10" s="14" t="s">
        <v>2423</v>
      </c>
      <c r="H10" s="197" t="s">
        <v>3489</v>
      </c>
      <c r="I10" s="197" t="s">
        <v>3504</v>
      </c>
      <c r="J10" s="197" t="s">
        <v>3513</v>
      </c>
      <c r="K10" s="197" t="s">
        <v>3514</v>
      </c>
      <c r="L10" s="197" t="s">
        <v>2836</v>
      </c>
      <c r="M10" s="197" t="s">
        <v>3515</v>
      </c>
      <c r="N10" s="128">
        <v>8.0</v>
      </c>
      <c r="O10" s="14" t="s">
        <v>71</v>
      </c>
    </row>
    <row r="11" ht="37.5" customHeight="1">
      <c r="A11" s="13"/>
      <c r="B11" s="14" t="s">
        <v>3516</v>
      </c>
      <c r="C11" s="128">
        <v>29.0</v>
      </c>
      <c r="D11" s="14" t="s">
        <v>89</v>
      </c>
      <c r="E11" s="14" t="s">
        <v>2001</v>
      </c>
      <c r="F11" s="128">
        <v>61.0</v>
      </c>
      <c r="G11" s="14" t="s">
        <v>2423</v>
      </c>
      <c r="H11" s="197" t="s">
        <v>3489</v>
      </c>
      <c r="I11" s="197" t="s">
        <v>3504</v>
      </c>
      <c r="J11" s="198" t="s">
        <v>3517</v>
      </c>
      <c r="K11" s="198" t="s">
        <v>3518</v>
      </c>
      <c r="L11" s="198" t="s">
        <v>2779</v>
      </c>
      <c r="M11" s="197" t="s">
        <v>3519</v>
      </c>
      <c r="N11" s="128">
        <v>9.0</v>
      </c>
      <c r="O11" s="128" t="s">
        <v>92</v>
      </c>
    </row>
    <row r="12" ht="37.5" customHeight="1">
      <c r="A12" s="13"/>
      <c r="B12" s="128" t="s">
        <v>884</v>
      </c>
      <c r="C12" s="128">
        <v>29.0</v>
      </c>
      <c r="D12" s="128" t="s">
        <v>157</v>
      </c>
      <c r="E12" s="14" t="s">
        <v>41</v>
      </c>
      <c r="F12" s="128">
        <v>29.0</v>
      </c>
      <c r="G12" s="14" t="s">
        <v>2423</v>
      </c>
      <c r="H12" s="197" t="s">
        <v>3489</v>
      </c>
      <c r="I12" s="197" t="s">
        <v>3520</v>
      </c>
      <c r="J12" s="197" t="s">
        <v>3521</v>
      </c>
      <c r="K12" s="197" t="s">
        <v>1926</v>
      </c>
      <c r="L12" s="197" t="s">
        <v>1067</v>
      </c>
      <c r="M12" s="197" t="s">
        <v>3522</v>
      </c>
      <c r="N12" s="128">
        <v>10.0</v>
      </c>
      <c r="O12" s="14" t="s">
        <v>92</v>
      </c>
    </row>
    <row r="13" ht="37.5" customHeight="1">
      <c r="A13" s="13"/>
      <c r="B13" s="128" t="s">
        <v>544</v>
      </c>
      <c r="C13" s="128">
        <v>27.0</v>
      </c>
      <c r="D13" s="128" t="s">
        <v>94</v>
      </c>
      <c r="E13" s="128" t="s">
        <v>40</v>
      </c>
      <c r="F13" s="128">
        <v>61.0</v>
      </c>
      <c r="G13" s="14" t="s">
        <v>2423</v>
      </c>
      <c r="H13" s="197" t="s">
        <v>3489</v>
      </c>
      <c r="I13" s="197" t="s">
        <v>3490</v>
      </c>
      <c r="J13" s="197" t="s">
        <v>1949</v>
      </c>
      <c r="K13" s="197" t="s">
        <v>1950</v>
      </c>
      <c r="L13" s="197" t="s">
        <v>2692</v>
      </c>
      <c r="M13" s="197" t="s">
        <v>3523</v>
      </c>
      <c r="N13" s="128">
        <v>11.0</v>
      </c>
      <c r="O13" s="14" t="s">
        <v>92</v>
      </c>
    </row>
    <row r="14" ht="37.5" customHeight="1">
      <c r="A14" s="13"/>
      <c r="B14" s="14" t="s">
        <v>353</v>
      </c>
      <c r="C14" s="128">
        <v>29.0</v>
      </c>
      <c r="D14" s="14" t="s">
        <v>157</v>
      </c>
      <c r="E14" s="14" t="s">
        <v>40</v>
      </c>
      <c r="F14" s="128">
        <v>70.0</v>
      </c>
      <c r="G14" s="14" t="s">
        <v>2423</v>
      </c>
      <c r="H14" s="197" t="s">
        <v>3489</v>
      </c>
      <c r="I14" s="197" t="s">
        <v>3490</v>
      </c>
      <c r="J14" s="198" t="s">
        <v>3524</v>
      </c>
      <c r="K14" s="198" t="s">
        <v>3525</v>
      </c>
      <c r="L14" s="197" t="s">
        <v>1522</v>
      </c>
      <c r="M14" s="197" t="s">
        <v>3526</v>
      </c>
      <c r="N14" s="128">
        <v>12.0</v>
      </c>
      <c r="O14" s="14" t="s">
        <v>92</v>
      </c>
    </row>
    <row r="15" ht="37.5" customHeight="1">
      <c r="A15" s="13"/>
      <c r="B15" s="128" t="s">
        <v>336</v>
      </c>
      <c r="C15" s="128">
        <v>29.0</v>
      </c>
      <c r="D15" s="14" t="s">
        <v>94</v>
      </c>
      <c r="E15" s="14" t="s">
        <v>41</v>
      </c>
      <c r="F15" s="128">
        <v>10.0</v>
      </c>
      <c r="G15" s="14" t="s">
        <v>2423</v>
      </c>
      <c r="H15" s="197" t="s">
        <v>3489</v>
      </c>
      <c r="I15" s="197" t="s">
        <v>3527</v>
      </c>
      <c r="J15" s="197" t="s">
        <v>3528</v>
      </c>
      <c r="K15" s="197" t="s">
        <v>3529</v>
      </c>
      <c r="L15" s="198" t="s">
        <v>1534</v>
      </c>
      <c r="M15" s="197" t="s">
        <v>3530</v>
      </c>
      <c r="N15" s="128">
        <v>13.0</v>
      </c>
      <c r="O15" s="14" t="s">
        <v>92</v>
      </c>
    </row>
    <row r="16" ht="37.5" customHeight="1">
      <c r="A16" s="13"/>
      <c r="B16" s="14" t="s">
        <v>3531</v>
      </c>
      <c r="C16" s="128">
        <v>26.0</v>
      </c>
      <c r="D16" s="14" t="s">
        <v>94</v>
      </c>
      <c r="E16" s="14" t="s">
        <v>41</v>
      </c>
      <c r="F16" s="128">
        <v>10.0</v>
      </c>
      <c r="G16" s="14" t="s">
        <v>2423</v>
      </c>
      <c r="H16" s="197" t="s">
        <v>3489</v>
      </c>
      <c r="I16" s="197" t="s">
        <v>3527</v>
      </c>
      <c r="J16" s="198" t="s">
        <v>3532</v>
      </c>
      <c r="K16" s="198" t="s">
        <v>3533</v>
      </c>
      <c r="L16" s="197" t="s">
        <v>683</v>
      </c>
      <c r="M16" s="197" t="s">
        <v>3534</v>
      </c>
      <c r="N16" s="128">
        <v>14.0</v>
      </c>
      <c r="O16" s="14" t="s">
        <v>92</v>
      </c>
    </row>
    <row r="17" ht="37.5" customHeight="1">
      <c r="A17" s="13"/>
      <c r="B17" s="14" t="s">
        <v>1239</v>
      </c>
      <c r="C17" s="128">
        <v>24.0</v>
      </c>
      <c r="D17" s="14" t="s">
        <v>73</v>
      </c>
      <c r="E17" s="14" t="s">
        <v>40</v>
      </c>
      <c r="F17" s="128">
        <v>57.0</v>
      </c>
      <c r="G17" s="14" t="s">
        <v>2423</v>
      </c>
      <c r="H17" s="197" t="s">
        <v>3489</v>
      </c>
      <c r="I17" s="197" t="s">
        <v>3490</v>
      </c>
      <c r="J17" s="198" t="s">
        <v>3535</v>
      </c>
      <c r="K17" s="198" t="s">
        <v>3536</v>
      </c>
      <c r="L17" s="198" t="s">
        <v>1511</v>
      </c>
      <c r="M17" s="197" t="s">
        <v>3537</v>
      </c>
      <c r="N17" s="128">
        <v>15.0</v>
      </c>
      <c r="O17" s="14" t="s">
        <v>92</v>
      </c>
    </row>
    <row r="18" ht="37.5" customHeight="1">
      <c r="A18" s="13"/>
      <c r="B18" s="14" t="s">
        <v>3538</v>
      </c>
      <c r="C18" s="128">
        <v>29.0</v>
      </c>
      <c r="D18" s="14" t="s">
        <v>65</v>
      </c>
      <c r="E18" s="14" t="s">
        <v>40</v>
      </c>
      <c r="F18" s="128">
        <v>67.0</v>
      </c>
      <c r="G18" s="14" t="s">
        <v>2423</v>
      </c>
      <c r="H18" s="197" t="s">
        <v>3489</v>
      </c>
      <c r="I18" s="197" t="s">
        <v>3490</v>
      </c>
      <c r="J18" s="198" t="s">
        <v>3539</v>
      </c>
      <c r="K18" s="198" t="s">
        <v>3540</v>
      </c>
      <c r="L18" s="198" t="s">
        <v>2779</v>
      </c>
      <c r="M18" s="197" t="s">
        <v>3541</v>
      </c>
      <c r="N18" s="128">
        <v>16.0</v>
      </c>
      <c r="O18" s="14" t="s">
        <v>92</v>
      </c>
    </row>
    <row r="19" ht="37.5" customHeight="1">
      <c r="A19" s="13"/>
      <c r="B19" s="14" t="s">
        <v>331</v>
      </c>
      <c r="C19" s="128">
        <v>29.0</v>
      </c>
      <c r="D19" s="14" t="s">
        <v>65</v>
      </c>
      <c r="E19" s="14" t="s">
        <v>40</v>
      </c>
      <c r="F19" s="128">
        <v>67.0</v>
      </c>
      <c r="G19" s="14" t="s">
        <v>2423</v>
      </c>
      <c r="H19" s="197" t="s">
        <v>3489</v>
      </c>
      <c r="I19" s="197" t="s">
        <v>3490</v>
      </c>
      <c r="J19" s="198" t="s">
        <v>3542</v>
      </c>
      <c r="K19" s="198" t="s">
        <v>3543</v>
      </c>
      <c r="L19" s="198" t="s">
        <v>3000</v>
      </c>
      <c r="M19" s="197" t="s">
        <v>3544</v>
      </c>
      <c r="N19" s="128">
        <v>17.0</v>
      </c>
      <c r="O19" s="14" t="s">
        <v>92</v>
      </c>
    </row>
    <row r="20" ht="37.5" customHeight="1">
      <c r="A20" s="13"/>
      <c r="B20" s="14" t="s">
        <v>358</v>
      </c>
      <c r="C20" s="128">
        <v>29.0</v>
      </c>
      <c r="D20" s="14" t="s">
        <v>157</v>
      </c>
      <c r="E20" s="14" t="s">
        <v>24</v>
      </c>
      <c r="F20" s="128">
        <v>66.0</v>
      </c>
      <c r="G20" s="14" t="s">
        <v>2423</v>
      </c>
      <c r="H20" s="197" t="s">
        <v>3489</v>
      </c>
      <c r="I20" s="197" t="s">
        <v>3545</v>
      </c>
      <c r="J20" s="198" t="s">
        <v>3546</v>
      </c>
      <c r="K20" s="198" t="s">
        <v>3547</v>
      </c>
      <c r="L20" s="198" t="s">
        <v>1061</v>
      </c>
      <c r="M20" s="197" t="s">
        <v>3548</v>
      </c>
      <c r="N20" s="128">
        <v>18.0</v>
      </c>
      <c r="O20" s="14" t="s">
        <v>92</v>
      </c>
    </row>
    <row r="21" ht="37.5" customHeight="1">
      <c r="A21" s="13"/>
      <c r="B21" s="14" t="s">
        <v>3549</v>
      </c>
      <c r="C21" s="128">
        <v>26.0</v>
      </c>
      <c r="D21" s="14" t="s">
        <v>157</v>
      </c>
      <c r="E21" s="14" t="s">
        <v>40</v>
      </c>
      <c r="F21" s="128">
        <v>70.0</v>
      </c>
      <c r="G21" s="14" t="s">
        <v>2423</v>
      </c>
      <c r="H21" s="197" t="s">
        <v>3489</v>
      </c>
      <c r="I21" s="197" t="s">
        <v>3490</v>
      </c>
      <c r="J21" s="198" t="s">
        <v>3550</v>
      </c>
      <c r="K21" s="198" t="s">
        <v>3551</v>
      </c>
      <c r="L21" s="197" t="s">
        <v>683</v>
      </c>
      <c r="M21" s="197" t="s">
        <v>3552</v>
      </c>
      <c r="N21" s="128">
        <v>19.0</v>
      </c>
      <c r="O21" s="14" t="s">
        <v>92</v>
      </c>
    </row>
    <row r="22" ht="37.5" customHeight="1">
      <c r="A22" s="13"/>
      <c r="B22" s="128" t="s">
        <v>499</v>
      </c>
      <c r="C22" s="128">
        <v>28.0</v>
      </c>
      <c r="D22" s="128" t="s">
        <v>157</v>
      </c>
      <c r="E22" s="14" t="s">
        <v>40</v>
      </c>
      <c r="F22" s="128">
        <v>59.0</v>
      </c>
      <c r="G22" s="14" t="s">
        <v>2423</v>
      </c>
      <c r="H22" s="197" t="s">
        <v>3489</v>
      </c>
      <c r="I22" s="197" t="s">
        <v>3490</v>
      </c>
      <c r="J22" s="197" t="s">
        <v>1966</v>
      </c>
      <c r="K22" s="197" t="s">
        <v>1967</v>
      </c>
      <c r="L22" s="197" t="s">
        <v>1530</v>
      </c>
      <c r="M22" s="197" t="s">
        <v>3553</v>
      </c>
      <c r="N22" s="128">
        <v>20.0</v>
      </c>
      <c r="O22" s="128" t="s">
        <v>92</v>
      </c>
    </row>
    <row r="23" ht="37.5" customHeight="1">
      <c r="A23" s="13"/>
      <c r="B23" s="14" t="s">
        <v>1180</v>
      </c>
      <c r="C23" s="128">
        <v>29.0</v>
      </c>
      <c r="D23" s="14" t="s">
        <v>83</v>
      </c>
      <c r="E23" s="14" t="s">
        <v>40</v>
      </c>
      <c r="F23" s="128">
        <v>69.0</v>
      </c>
      <c r="G23" s="14" t="s">
        <v>2423</v>
      </c>
      <c r="H23" s="197" t="s">
        <v>3489</v>
      </c>
      <c r="I23" s="197" t="s">
        <v>3490</v>
      </c>
      <c r="J23" s="198" t="s">
        <v>3554</v>
      </c>
      <c r="K23" s="198" t="s">
        <v>3555</v>
      </c>
      <c r="L23" s="198" t="s">
        <v>2628</v>
      </c>
      <c r="M23" s="197" t="s">
        <v>3556</v>
      </c>
      <c r="N23" s="128">
        <v>21.0</v>
      </c>
      <c r="O23" s="14" t="s">
        <v>92</v>
      </c>
    </row>
    <row r="24" ht="37.5" customHeight="1">
      <c r="A24" s="13"/>
      <c r="B24" s="14" t="s">
        <v>351</v>
      </c>
      <c r="C24" s="128">
        <v>20.0</v>
      </c>
      <c r="D24" s="14" t="s">
        <v>94</v>
      </c>
      <c r="E24" s="14" t="s">
        <v>40</v>
      </c>
      <c r="F24" s="128">
        <v>57.0</v>
      </c>
      <c r="G24" s="14" t="s">
        <v>2597</v>
      </c>
      <c r="H24" s="197" t="s">
        <v>3489</v>
      </c>
      <c r="I24" s="197" t="s">
        <v>3490</v>
      </c>
      <c r="J24" s="198" t="s">
        <v>3557</v>
      </c>
      <c r="K24" s="198" t="s">
        <v>2784</v>
      </c>
      <c r="L24" s="198" t="s">
        <v>2628</v>
      </c>
      <c r="M24" s="197" t="s">
        <v>3558</v>
      </c>
      <c r="N24" s="128">
        <v>22.0</v>
      </c>
      <c r="O24" s="14" t="s">
        <v>120</v>
      </c>
    </row>
    <row r="25" ht="37.5" customHeight="1">
      <c r="A25" s="13"/>
      <c r="B25" s="14" t="s">
        <v>348</v>
      </c>
      <c r="C25" s="128">
        <v>29.0</v>
      </c>
      <c r="D25" s="14" t="s">
        <v>73</v>
      </c>
      <c r="E25" s="14" t="s">
        <v>40</v>
      </c>
      <c r="F25" s="128">
        <v>62.0</v>
      </c>
      <c r="G25" s="14" t="s">
        <v>2423</v>
      </c>
      <c r="H25" s="197" t="s">
        <v>3489</v>
      </c>
      <c r="I25" s="197" t="s">
        <v>3490</v>
      </c>
      <c r="J25" s="198" t="s">
        <v>3218</v>
      </c>
      <c r="K25" s="198" t="s">
        <v>2636</v>
      </c>
      <c r="L25" s="198" t="s">
        <v>2632</v>
      </c>
      <c r="M25" s="197" t="s">
        <v>3559</v>
      </c>
      <c r="N25" s="128">
        <v>23.0</v>
      </c>
      <c r="O25" s="14" t="s">
        <v>120</v>
      </c>
    </row>
    <row r="26" ht="37.5" customHeight="1">
      <c r="A26" s="13"/>
      <c r="B26" s="14" t="s">
        <v>360</v>
      </c>
      <c r="C26" s="128">
        <v>29.0</v>
      </c>
      <c r="D26" s="14" t="s">
        <v>65</v>
      </c>
      <c r="E26" s="14" t="s">
        <v>24</v>
      </c>
      <c r="F26" s="128">
        <v>70.0</v>
      </c>
      <c r="G26" s="14" t="s">
        <v>2423</v>
      </c>
      <c r="H26" s="197" t="s">
        <v>3489</v>
      </c>
      <c r="I26" s="197" t="s">
        <v>3560</v>
      </c>
      <c r="J26" s="198" t="s">
        <v>3561</v>
      </c>
      <c r="K26" s="198" t="s">
        <v>3562</v>
      </c>
      <c r="L26" s="198" t="s">
        <v>2457</v>
      </c>
      <c r="M26" s="197" t="s">
        <v>3563</v>
      </c>
      <c r="N26" s="128">
        <v>24.0</v>
      </c>
      <c r="O26" s="14" t="s">
        <v>120</v>
      </c>
    </row>
    <row r="27" ht="37.5" customHeight="1">
      <c r="A27" s="13"/>
      <c r="B27" s="14" t="s">
        <v>1305</v>
      </c>
      <c r="C27" s="128">
        <v>24.0</v>
      </c>
      <c r="D27" s="14" t="s">
        <v>65</v>
      </c>
      <c r="E27" s="14" t="s">
        <v>40</v>
      </c>
      <c r="F27" s="128">
        <v>68.0</v>
      </c>
      <c r="G27" s="14" t="s">
        <v>2423</v>
      </c>
      <c r="H27" s="197" t="s">
        <v>3489</v>
      </c>
      <c r="I27" s="197" t="s">
        <v>3490</v>
      </c>
      <c r="J27" s="198" t="s">
        <v>3564</v>
      </c>
      <c r="K27" s="198" t="s">
        <v>2560</v>
      </c>
      <c r="L27" s="198" t="s">
        <v>1085</v>
      </c>
      <c r="M27" s="197" t="s">
        <v>3565</v>
      </c>
      <c r="N27" s="128">
        <v>25.0</v>
      </c>
      <c r="O27" s="14" t="s">
        <v>120</v>
      </c>
    </row>
    <row r="28" ht="37.5" customHeight="1">
      <c r="A28" s="13"/>
      <c r="B28" s="14" t="s">
        <v>1308</v>
      </c>
      <c r="C28" s="128">
        <v>29.0</v>
      </c>
      <c r="D28" s="14" t="s">
        <v>73</v>
      </c>
      <c r="E28" s="14" t="s">
        <v>41</v>
      </c>
      <c r="F28" s="128">
        <v>49.0</v>
      </c>
      <c r="G28" s="14" t="s">
        <v>2423</v>
      </c>
      <c r="H28" s="197" t="s">
        <v>3489</v>
      </c>
      <c r="I28" s="197" t="s">
        <v>3527</v>
      </c>
      <c r="J28" s="198" t="s">
        <v>186</v>
      </c>
      <c r="K28" s="198" t="s">
        <v>3566</v>
      </c>
      <c r="L28" s="198" t="s">
        <v>1534</v>
      </c>
      <c r="M28" s="197" t="s">
        <v>3567</v>
      </c>
      <c r="N28" s="128">
        <v>26.0</v>
      </c>
      <c r="O28" s="14" t="s">
        <v>120</v>
      </c>
    </row>
    <row r="29" ht="37.5" customHeight="1">
      <c r="A29" s="13"/>
      <c r="B29" s="14" t="s">
        <v>363</v>
      </c>
      <c r="C29" s="128">
        <v>20.0</v>
      </c>
      <c r="D29" s="14" t="s">
        <v>89</v>
      </c>
      <c r="E29" s="14" t="s">
        <v>24</v>
      </c>
      <c r="F29" s="128">
        <v>61.0</v>
      </c>
      <c r="G29" s="14" t="s">
        <v>2597</v>
      </c>
      <c r="H29" s="197" t="s">
        <v>3489</v>
      </c>
      <c r="I29" s="197" t="s">
        <v>3545</v>
      </c>
      <c r="J29" s="198" t="s">
        <v>3568</v>
      </c>
      <c r="K29" s="198" t="s">
        <v>3569</v>
      </c>
      <c r="L29" s="198" t="s">
        <v>3570</v>
      </c>
      <c r="M29" s="197" t="s">
        <v>3571</v>
      </c>
      <c r="N29" s="128">
        <v>27.0</v>
      </c>
      <c r="O29" s="14" t="s">
        <v>120</v>
      </c>
    </row>
    <row r="30" ht="37.5" customHeight="1">
      <c r="A30" s="13"/>
      <c r="B30" s="14" t="s">
        <v>340</v>
      </c>
      <c r="C30" s="128">
        <v>25.0</v>
      </c>
      <c r="D30" s="14" t="s">
        <v>89</v>
      </c>
      <c r="E30" s="14" t="s">
        <v>24</v>
      </c>
      <c r="F30" s="128">
        <v>64.0</v>
      </c>
      <c r="G30" s="14" t="s">
        <v>2423</v>
      </c>
      <c r="H30" s="197" t="s">
        <v>3489</v>
      </c>
      <c r="I30" s="197" t="s">
        <v>3545</v>
      </c>
      <c r="J30" s="198" t="s">
        <v>3572</v>
      </c>
      <c r="K30" s="198" t="s">
        <v>247</v>
      </c>
      <c r="L30" s="197" t="s">
        <v>1214</v>
      </c>
      <c r="M30" s="197" t="s">
        <v>3573</v>
      </c>
      <c r="N30" s="128">
        <v>28.0</v>
      </c>
      <c r="O30" s="128" t="s">
        <v>136</v>
      </c>
    </row>
    <row r="31" ht="37.5" customHeight="1">
      <c r="A31" s="13"/>
      <c r="B31" s="14" t="s">
        <v>366</v>
      </c>
      <c r="C31" s="128">
        <v>29.0</v>
      </c>
      <c r="D31" s="14" t="s">
        <v>89</v>
      </c>
      <c r="E31" s="14" t="s">
        <v>24</v>
      </c>
      <c r="F31" s="128">
        <v>67.0</v>
      </c>
      <c r="G31" s="14" t="s">
        <v>2423</v>
      </c>
      <c r="H31" s="197" t="s">
        <v>3489</v>
      </c>
      <c r="I31" s="197" t="s">
        <v>3545</v>
      </c>
      <c r="J31" s="198" t="s">
        <v>85</v>
      </c>
      <c r="K31" s="198" t="s">
        <v>3574</v>
      </c>
      <c r="L31" s="198" t="s">
        <v>1514</v>
      </c>
      <c r="M31" s="197" t="s">
        <v>3575</v>
      </c>
      <c r="N31" s="128">
        <v>29.0</v>
      </c>
      <c r="O31" s="128" t="s">
        <v>136</v>
      </c>
    </row>
    <row r="32" ht="37.5" customHeight="1">
      <c r="A32" s="13"/>
      <c r="B32" s="14" t="s">
        <v>344</v>
      </c>
      <c r="C32" s="128">
        <v>12.0</v>
      </c>
      <c r="D32" s="14" t="s">
        <v>94</v>
      </c>
      <c r="E32" s="14" t="s">
        <v>40</v>
      </c>
      <c r="F32" s="128">
        <v>48.0</v>
      </c>
      <c r="G32" s="14" t="s">
        <v>2597</v>
      </c>
      <c r="H32" s="197" t="s">
        <v>3489</v>
      </c>
      <c r="I32" s="197" t="s">
        <v>3490</v>
      </c>
      <c r="J32" s="198" t="s">
        <v>3576</v>
      </c>
      <c r="K32" s="198" t="s">
        <v>3577</v>
      </c>
      <c r="L32" s="198" t="s">
        <v>75</v>
      </c>
      <c r="M32" s="197" t="s">
        <v>3578</v>
      </c>
      <c r="N32" s="128">
        <v>30.0</v>
      </c>
      <c r="O32" s="14" t="s">
        <v>136</v>
      </c>
    </row>
    <row r="33" ht="37.5" customHeight="1">
      <c r="A33" s="13"/>
      <c r="B33" s="14" t="s">
        <v>357</v>
      </c>
      <c r="C33" s="128">
        <v>29.0</v>
      </c>
      <c r="D33" s="14" t="s">
        <v>73</v>
      </c>
      <c r="E33" s="14" t="s">
        <v>24</v>
      </c>
      <c r="F33" s="128">
        <v>63.0</v>
      </c>
      <c r="G33" s="14" t="s">
        <v>2423</v>
      </c>
      <c r="H33" s="197" t="s">
        <v>3489</v>
      </c>
      <c r="I33" s="197" t="s">
        <v>3545</v>
      </c>
      <c r="J33" s="198" t="s">
        <v>3510</v>
      </c>
      <c r="K33" s="198" t="s">
        <v>3574</v>
      </c>
      <c r="L33" s="198" t="s">
        <v>2628</v>
      </c>
      <c r="M33" s="197" t="s">
        <v>3579</v>
      </c>
      <c r="N33" s="128">
        <v>31.0</v>
      </c>
      <c r="O33" s="14" t="s">
        <v>136</v>
      </c>
    </row>
    <row r="34" ht="37.5" customHeight="1">
      <c r="A34" s="13"/>
      <c r="B34" s="14" t="s">
        <v>367</v>
      </c>
      <c r="C34" s="128">
        <v>6.0</v>
      </c>
      <c r="D34" s="14" t="s">
        <v>94</v>
      </c>
      <c r="E34" s="14" t="s">
        <v>24</v>
      </c>
      <c r="F34" s="128">
        <v>70.0</v>
      </c>
      <c r="G34" s="14" t="s">
        <v>2597</v>
      </c>
      <c r="H34" s="197" t="s">
        <v>3489</v>
      </c>
      <c r="I34" s="197" t="s">
        <v>3545</v>
      </c>
      <c r="J34" s="198" t="s">
        <v>125</v>
      </c>
      <c r="K34" s="198" t="s">
        <v>1954</v>
      </c>
      <c r="L34" s="198" t="s">
        <v>75</v>
      </c>
      <c r="M34" s="197" t="s">
        <v>3580</v>
      </c>
      <c r="N34" s="128">
        <v>32.0</v>
      </c>
      <c r="O34" s="14" t="s">
        <v>167</v>
      </c>
    </row>
    <row r="35" ht="37.5" customHeight="1">
      <c r="A35" s="13"/>
      <c r="B35" s="14" t="s">
        <v>369</v>
      </c>
      <c r="C35" s="128">
        <v>29.0</v>
      </c>
      <c r="D35" s="14" t="s">
        <v>65</v>
      </c>
      <c r="E35" s="14" t="s">
        <v>24</v>
      </c>
      <c r="F35" s="128">
        <v>64.0</v>
      </c>
      <c r="G35" s="14" t="s">
        <v>2423</v>
      </c>
      <c r="H35" s="197" t="s">
        <v>3489</v>
      </c>
      <c r="I35" s="197" t="s">
        <v>3560</v>
      </c>
      <c r="J35" s="198" t="s">
        <v>3581</v>
      </c>
      <c r="K35" s="198" t="s">
        <v>3582</v>
      </c>
      <c r="L35" s="198" t="s">
        <v>1532</v>
      </c>
      <c r="M35" s="197" t="s">
        <v>3583</v>
      </c>
      <c r="N35" s="128">
        <v>33.0</v>
      </c>
      <c r="O35" s="14" t="s">
        <v>167</v>
      </c>
    </row>
    <row r="36" ht="37.5" customHeight="1">
      <c r="A36" s="13"/>
      <c r="B36" s="14" t="s">
        <v>368</v>
      </c>
      <c r="C36" s="128">
        <v>24.0</v>
      </c>
      <c r="D36" s="14" t="s">
        <v>94</v>
      </c>
      <c r="E36" s="14" t="s">
        <v>24</v>
      </c>
      <c r="F36" s="128">
        <v>65.0</v>
      </c>
      <c r="G36" s="14" t="s">
        <v>2423</v>
      </c>
      <c r="H36" s="197" t="s">
        <v>3489</v>
      </c>
      <c r="I36" s="197" t="s">
        <v>3545</v>
      </c>
      <c r="J36" s="198" t="s">
        <v>76</v>
      </c>
      <c r="K36" s="198" t="s">
        <v>739</v>
      </c>
      <c r="L36" s="198" t="s">
        <v>2628</v>
      </c>
      <c r="M36" s="197" t="s">
        <v>3584</v>
      </c>
      <c r="N36" s="128">
        <v>34.0</v>
      </c>
      <c r="O36" s="14" t="s">
        <v>423</v>
      </c>
    </row>
  </sheetData>
  <autoFilter ref="$A$2:$O$36">
    <sortState ref="A2:O36">
      <sortCondition ref="N2:N36"/>
      <sortCondition ref="B2:B36"/>
    </sortState>
  </autoFilter>
  <mergeCells count="4">
    <mergeCell ref="A1:B1"/>
    <mergeCell ref="C1:G1"/>
    <mergeCell ref="J1:L1"/>
    <mergeCell ref="M1:O1"/>
  </mergeCells>
  <conditionalFormatting sqref="O3:O36">
    <cfRule type="cellIs" dxfId="3" priority="1" operator="equal">
      <formula>"F"</formula>
    </cfRule>
  </conditionalFormatting>
  <conditionalFormatting sqref="O3:O36">
    <cfRule type="cellIs" dxfId="4" priority="2" operator="equal">
      <formula>"E"</formula>
    </cfRule>
  </conditionalFormatting>
  <conditionalFormatting sqref="N3:O36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36">
    <cfRule type="cellIs" dxfId="13" priority="4" operator="equal">
      <formula>"Solar"</formula>
    </cfRule>
  </conditionalFormatting>
  <conditionalFormatting sqref="D3:D36">
    <cfRule type="cellIs" dxfId="20" priority="5" operator="equal">
      <formula>"Arc"</formula>
    </cfRule>
  </conditionalFormatting>
  <conditionalFormatting sqref="D3:D36">
    <cfRule type="cellIs" dxfId="21" priority="6" operator="equal">
      <formula>"Stasis"</formula>
    </cfRule>
  </conditionalFormatting>
  <conditionalFormatting sqref="D3:D36">
    <cfRule type="cellIs" dxfId="18" priority="7" operator="equal">
      <formula>"Void"</formula>
    </cfRule>
  </conditionalFormatting>
  <conditionalFormatting sqref="D3:D36">
    <cfRule type="cellIs" dxfId="17" priority="8" operator="equal">
      <formula>"Strand"</formula>
    </cfRule>
  </conditionalFormatting>
  <conditionalFormatting sqref="G3:G36">
    <cfRule type="cellIs" dxfId="17" priority="9" operator="equal">
      <formula>"Yes"</formula>
    </cfRule>
  </conditionalFormatting>
  <conditionalFormatting sqref="G3:G36">
    <cfRule type="cellIs" dxfId="2" priority="10" operator="equal">
      <formula>"No"</formula>
    </cfRule>
  </conditionalFormatting>
  <conditionalFormatting sqref="O3:O36">
    <cfRule type="cellIs" dxfId="5" priority="11" operator="equal">
      <formula>"S"</formula>
    </cfRule>
  </conditionalFormatting>
  <conditionalFormatting sqref="O3:O36">
    <cfRule type="cellIs" dxfId="6" priority="12" operator="equal">
      <formula>"B"</formula>
    </cfRule>
  </conditionalFormatting>
  <conditionalFormatting sqref="O3:O36">
    <cfRule type="cellIs" dxfId="7" priority="13" operator="equal">
      <formula>"D"</formula>
    </cfRule>
  </conditionalFormatting>
  <conditionalFormatting sqref="O3:O36">
    <cfRule type="cellIs" dxfId="8" priority="14" operator="equal">
      <formula>"C"</formula>
    </cfRule>
  </conditionalFormatting>
  <conditionalFormatting sqref="O3:O36">
    <cfRule type="cellIs" dxfId="9" priority="15" operator="equal">
      <formula>"A"</formula>
    </cfRule>
  </conditionalFormatting>
  <conditionalFormatting sqref="D3:D36">
    <cfRule type="cellIs" dxfId="19" priority="16" operator="equal">
      <formula>"Kinetic"</formula>
    </cfRule>
  </conditionalFormatting>
  <conditionalFormatting sqref="F3:F36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36">
    <cfRule type="expression" dxfId="12" priority="18">
      <formula>$C3=MAX($C$3:$C36)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4" t="s">
        <v>287</v>
      </c>
      <c r="C3" s="128">
        <v>29.0</v>
      </c>
      <c r="D3" s="14" t="s">
        <v>73</v>
      </c>
      <c r="E3" s="14" t="s">
        <v>14</v>
      </c>
      <c r="F3" s="128">
        <v>49.0</v>
      </c>
      <c r="G3" s="14" t="s">
        <v>2423</v>
      </c>
      <c r="H3" s="197" t="s">
        <v>2439</v>
      </c>
      <c r="I3" s="197" t="s">
        <v>3585</v>
      </c>
      <c r="J3" s="198" t="s">
        <v>3586</v>
      </c>
      <c r="K3" s="198" t="s">
        <v>3587</v>
      </c>
      <c r="L3" s="198" t="s">
        <v>2486</v>
      </c>
      <c r="M3" s="197" t="s">
        <v>3588</v>
      </c>
      <c r="N3" s="128">
        <v>1.0</v>
      </c>
      <c r="O3" s="128" t="s">
        <v>71</v>
      </c>
    </row>
    <row r="4" ht="37.5" customHeight="1">
      <c r="A4" s="13"/>
      <c r="B4" s="14" t="s">
        <v>295</v>
      </c>
      <c r="C4" s="128">
        <v>29.0</v>
      </c>
      <c r="D4" s="14" t="s">
        <v>94</v>
      </c>
      <c r="E4" s="14" t="s">
        <v>14</v>
      </c>
      <c r="F4" s="128">
        <v>55.0</v>
      </c>
      <c r="G4" s="14" t="s">
        <v>2423</v>
      </c>
      <c r="H4" s="197" t="s">
        <v>2439</v>
      </c>
      <c r="I4" s="197" t="s">
        <v>3585</v>
      </c>
      <c r="J4" s="198" t="s">
        <v>3589</v>
      </c>
      <c r="K4" s="198" t="s">
        <v>3590</v>
      </c>
      <c r="L4" s="198" t="s">
        <v>2457</v>
      </c>
      <c r="M4" s="197" t="s">
        <v>3591</v>
      </c>
      <c r="N4" s="128">
        <v>2.0</v>
      </c>
      <c r="O4" s="14" t="s">
        <v>71</v>
      </c>
    </row>
    <row r="5" ht="37.5" customHeight="1">
      <c r="A5" s="128"/>
      <c r="B5" s="128" t="s">
        <v>1908</v>
      </c>
      <c r="C5" s="128">
        <v>28.0</v>
      </c>
      <c r="D5" s="128" t="s">
        <v>73</v>
      </c>
      <c r="E5" s="14" t="s">
        <v>14</v>
      </c>
      <c r="F5" s="128">
        <v>54.0</v>
      </c>
      <c r="G5" s="14" t="s">
        <v>2423</v>
      </c>
      <c r="H5" s="197" t="s">
        <v>2439</v>
      </c>
      <c r="I5" s="197" t="s">
        <v>3585</v>
      </c>
      <c r="J5" s="197" t="s">
        <v>1909</v>
      </c>
      <c r="K5" s="197" t="s">
        <v>1910</v>
      </c>
      <c r="L5" s="197" t="s">
        <v>3198</v>
      </c>
      <c r="M5" s="197" t="s">
        <v>3592</v>
      </c>
      <c r="N5" s="128">
        <v>3.0</v>
      </c>
      <c r="O5" s="128" t="s">
        <v>71</v>
      </c>
    </row>
    <row r="6" ht="37.5" customHeight="1">
      <c r="A6" s="128"/>
      <c r="B6" s="14" t="s">
        <v>271</v>
      </c>
      <c r="C6" s="128">
        <v>28.0</v>
      </c>
      <c r="D6" s="14" t="s">
        <v>157</v>
      </c>
      <c r="E6" s="14" t="s">
        <v>14</v>
      </c>
      <c r="F6" s="128">
        <v>46.0</v>
      </c>
      <c r="G6" s="14" t="s">
        <v>2423</v>
      </c>
      <c r="H6" s="197" t="s">
        <v>2439</v>
      </c>
      <c r="I6" s="197" t="s">
        <v>3585</v>
      </c>
      <c r="J6" s="197" t="s">
        <v>1970</v>
      </c>
      <c r="K6" s="197" t="s">
        <v>3593</v>
      </c>
      <c r="L6" s="197" t="s">
        <v>2457</v>
      </c>
      <c r="M6" s="197" t="s">
        <v>3594</v>
      </c>
      <c r="N6" s="128">
        <v>4.0</v>
      </c>
      <c r="O6" s="128" t="s">
        <v>71</v>
      </c>
    </row>
    <row r="7" ht="37.5" customHeight="1">
      <c r="A7" s="13"/>
      <c r="B7" s="128" t="s">
        <v>623</v>
      </c>
      <c r="C7" s="128">
        <v>27.0</v>
      </c>
      <c r="D7" s="128" t="s">
        <v>157</v>
      </c>
      <c r="E7" s="14" t="s">
        <v>14</v>
      </c>
      <c r="F7" s="128">
        <v>52.0</v>
      </c>
      <c r="G7" s="14" t="s">
        <v>2423</v>
      </c>
      <c r="H7" s="197" t="s">
        <v>2439</v>
      </c>
      <c r="I7" s="197" t="s">
        <v>3585</v>
      </c>
      <c r="J7" s="197" t="s">
        <v>3595</v>
      </c>
      <c r="K7" s="197" t="s">
        <v>3596</v>
      </c>
      <c r="L7" s="197" t="s">
        <v>2836</v>
      </c>
      <c r="M7" s="197" t="s">
        <v>3597</v>
      </c>
      <c r="N7" s="128">
        <v>5.0</v>
      </c>
      <c r="O7" s="14" t="s">
        <v>71</v>
      </c>
    </row>
    <row r="8" ht="37.5" customHeight="1">
      <c r="A8" s="14"/>
      <c r="B8" s="128" t="s">
        <v>3598</v>
      </c>
      <c r="C8" s="128">
        <v>29.0</v>
      </c>
      <c r="D8" s="14" t="s">
        <v>83</v>
      </c>
      <c r="E8" s="14" t="s">
        <v>17</v>
      </c>
      <c r="F8" s="128">
        <v>31.0</v>
      </c>
      <c r="G8" s="14" t="s">
        <v>2423</v>
      </c>
      <c r="H8" s="197" t="s">
        <v>2439</v>
      </c>
      <c r="I8" s="197" t="s">
        <v>3585</v>
      </c>
      <c r="J8" s="197" t="s">
        <v>3599</v>
      </c>
      <c r="K8" s="197" t="s">
        <v>3600</v>
      </c>
      <c r="L8" s="197" t="s">
        <v>2501</v>
      </c>
      <c r="M8" s="197" t="s">
        <v>3601</v>
      </c>
      <c r="N8" s="128">
        <v>6.0</v>
      </c>
      <c r="O8" s="14" t="s">
        <v>71</v>
      </c>
    </row>
    <row r="9" ht="37.5" customHeight="1">
      <c r="A9" s="13"/>
      <c r="B9" s="14" t="s">
        <v>1297</v>
      </c>
      <c r="C9" s="128">
        <v>29.0</v>
      </c>
      <c r="D9" s="14" t="s">
        <v>83</v>
      </c>
      <c r="E9" s="14" t="s">
        <v>14</v>
      </c>
      <c r="F9" s="128">
        <v>52.0</v>
      </c>
      <c r="G9" s="14" t="s">
        <v>2423</v>
      </c>
      <c r="H9" s="197" t="s">
        <v>2439</v>
      </c>
      <c r="I9" s="197" t="s">
        <v>3585</v>
      </c>
      <c r="J9" s="198" t="s">
        <v>3599</v>
      </c>
      <c r="K9" s="198" t="s">
        <v>276</v>
      </c>
      <c r="L9" s="198" t="s">
        <v>1515</v>
      </c>
      <c r="M9" s="197" t="s">
        <v>3602</v>
      </c>
      <c r="N9" s="128">
        <v>7.0</v>
      </c>
      <c r="O9" s="128" t="s">
        <v>71</v>
      </c>
    </row>
    <row r="10" ht="37.5" customHeight="1">
      <c r="A10" s="13"/>
      <c r="B10" s="14" t="s">
        <v>281</v>
      </c>
      <c r="C10" s="128">
        <v>29.0</v>
      </c>
      <c r="D10" s="14" t="s">
        <v>65</v>
      </c>
      <c r="E10" s="14" t="s">
        <v>13</v>
      </c>
      <c r="F10" s="128">
        <v>29.0</v>
      </c>
      <c r="G10" s="14" t="s">
        <v>2423</v>
      </c>
      <c r="H10" s="197" t="s">
        <v>2439</v>
      </c>
      <c r="I10" s="197" t="s">
        <v>3585</v>
      </c>
      <c r="J10" s="198" t="s">
        <v>3603</v>
      </c>
      <c r="K10" s="198" t="s">
        <v>3604</v>
      </c>
      <c r="L10" s="198" t="s">
        <v>1536</v>
      </c>
      <c r="M10" s="197" t="s">
        <v>3605</v>
      </c>
      <c r="N10" s="128">
        <v>8.0</v>
      </c>
      <c r="O10" s="14" t="s">
        <v>92</v>
      </c>
    </row>
    <row r="11" ht="37.5" customHeight="1">
      <c r="A11" s="13"/>
      <c r="B11" s="128" t="s">
        <v>621</v>
      </c>
      <c r="C11" s="128">
        <v>27.0</v>
      </c>
      <c r="D11" s="14" t="s">
        <v>73</v>
      </c>
      <c r="E11" s="128" t="s">
        <v>16</v>
      </c>
      <c r="F11" s="128">
        <v>33.0</v>
      </c>
      <c r="G11" s="14" t="s">
        <v>2423</v>
      </c>
      <c r="H11" s="197" t="s">
        <v>2727</v>
      </c>
      <c r="I11" s="197" t="s">
        <v>3585</v>
      </c>
      <c r="J11" s="197" t="s">
        <v>3606</v>
      </c>
      <c r="K11" s="197" t="s">
        <v>3607</v>
      </c>
      <c r="L11" s="197" t="s">
        <v>2448</v>
      </c>
      <c r="M11" s="197" t="s">
        <v>3608</v>
      </c>
      <c r="N11" s="128">
        <v>9.0</v>
      </c>
      <c r="O11" s="128" t="s">
        <v>92</v>
      </c>
    </row>
    <row r="12" ht="37.5" customHeight="1">
      <c r="A12" s="14"/>
      <c r="B12" s="14" t="s">
        <v>3609</v>
      </c>
      <c r="C12" s="128">
        <v>29.0</v>
      </c>
      <c r="D12" s="14" t="s">
        <v>83</v>
      </c>
      <c r="E12" s="14" t="s">
        <v>16</v>
      </c>
      <c r="F12" s="128">
        <v>38.0</v>
      </c>
      <c r="G12" s="14" t="s">
        <v>2423</v>
      </c>
      <c r="H12" s="197" t="s">
        <v>2439</v>
      </c>
      <c r="I12" s="197" t="s">
        <v>3585</v>
      </c>
      <c r="J12" s="198" t="s">
        <v>3610</v>
      </c>
      <c r="K12" s="198" t="s">
        <v>3611</v>
      </c>
      <c r="L12" s="198" t="s">
        <v>2432</v>
      </c>
      <c r="M12" s="197" t="s">
        <v>3612</v>
      </c>
      <c r="N12" s="128">
        <v>10.0</v>
      </c>
      <c r="O12" s="14" t="s">
        <v>92</v>
      </c>
    </row>
    <row r="13" ht="37.5" customHeight="1">
      <c r="A13" s="13"/>
      <c r="B13" s="14" t="s">
        <v>310</v>
      </c>
      <c r="C13" s="128">
        <v>29.0</v>
      </c>
      <c r="D13" s="14" t="s">
        <v>94</v>
      </c>
      <c r="E13" s="14" t="s">
        <v>14</v>
      </c>
      <c r="F13" s="128">
        <v>52.0</v>
      </c>
      <c r="G13" s="14" t="s">
        <v>2423</v>
      </c>
      <c r="H13" s="197" t="s">
        <v>2439</v>
      </c>
      <c r="I13" s="197" t="s">
        <v>3585</v>
      </c>
      <c r="J13" s="197" t="s">
        <v>3613</v>
      </c>
      <c r="K13" s="197" t="s">
        <v>3614</v>
      </c>
      <c r="L13" s="197" t="s">
        <v>1212</v>
      </c>
      <c r="M13" s="197" t="s">
        <v>3615</v>
      </c>
      <c r="N13" s="128">
        <v>11.0</v>
      </c>
      <c r="O13" s="128" t="s">
        <v>92</v>
      </c>
    </row>
    <row r="14" ht="37.5" customHeight="1">
      <c r="A14" s="13"/>
      <c r="B14" s="14" t="s">
        <v>292</v>
      </c>
      <c r="C14" s="128">
        <v>25.0</v>
      </c>
      <c r="D14" s="14" t="s">
        <v>94</v>
      </c>
      <c r="E14" s="14" t="s">
        <v>264</v>
      </c>
      <c r="F14" s="128">
        <v>26.0</v>
      </c>
      <c r="G14" s="14" t="s">
        <v>2423</v>
      </c>
      <c r="H14" s="197" t="s">
        <v>2439</v>
      </c>
      <c r="I14" s="197" t="s">
        <v>3585</v>
      </c>
      <c r="J14" s="197" t="s">
        <v>3616</v>
      </c>
      <c r="K14" s="197" t="s">
        <v>3614</v>
      </c>
      <c r="L14" s="198" t="s">
        <v>1530</v>
      </c>
      <c r="M14" s="197" t="s">
        <v>3617</v>
      </c>
      <c r="N14" s="128">
        <v>12.0</v>
      </c>
      <c r="O14" s="14" t="s">
        <v>92</v>
      </c>
    </row>
    <row r="15" ht="37.5" customHeight="1">
      <c r="A15" s="128"/>
      <c r="B15" s="128" t="s">
        <v>490</v>
      </c>
      <c r="C15" s="128">
        <v>28.0</v>
      </c>
      <c r="D15" s="128" t="s">
        <v>94</v>
      </c>
      <c r="E15" s="128" t="s">
        <v>264</v>
      </c>
      <c r="F15" s="128">
        <v>20.0</v>
      </c>
      <c r="G15" s="14" t="s">
        <v>2423</v>
      </c>
      <c r="H15" s="197" t="s">
        <v>2439</v>
      </c>
      <c r="I15" s="197" t="s">
        <v>3585</v>
      </c>
      <c r="J15" s="197" t="s">
        <v>3618</v>
      </c>
      <c r="K15" s="197" t="s">
        <v>3619</v>
      </c>
      <c r="L15" s="197" t="s">
        <v>1081</v>
      </c>
      <c r="M15" s="197" t="s">
        <v>3620</v>
      </c>
      <c r="N15" s="128">
        <v>13.0</v>
      </c>
      <c r="O15" s="128" t="s">
        <v>92</v>
      </c>
    </row>
    <row r="16" ht="37.5" customHeight="1">
      <c r="A16" s="13"/>
      <c r="B16" s="128" t="s">
        <v>812</v>
      </c>
      <c r="C16" s="128">
        <v>26.0</v>
      </c>
      <c r="D16" s="14" t="s">
        <v>94</v>
      </c>
      <c r="E16" s="128" t="s">
        <v>13</v>
      </c>
      <c r="F16" s="128">
        <v>39.0</v>
      </c>
      <c r="G16" s="14" t="s">
        <v>2423</v>
      </c>
      <c r="H16" s="197" t="s">
        <v>2439</v>
      </c>
      <c r="I16" s="197" t="s">
        <v>3585</v>
      </c>
      <c r="J16" s="197" t="s">
        <v>3621</v>
      </c>
      <c r="K16" s="197" t="s">
        <v>3622</v>
      </c>
      <c r="L16" s="197" t="s">
        <v>716</v>
      </c>
      <c r="M16" s="197" t="s">
        <v>3623</v>
      </c>
      <c r="N16" s="128">
        <v>14.0</v>
      </c>
      <c r="O16" s="128" t="s">
        <v>92</v>
      </c>
    </row>
    <row r="17" ht="37.5" customHeight="1">
      <c r="A17" s="13"/>
      <c r="B17" s="128" t="s">
        <v>804</v>
      </c>
      <c r="C17" s="128">
        <v>26.0</v>
      </c>
      <c r="D17" s="128" t="s">
        <v>65</v>
      </c>
      <c r="E17" s="128" t="s">
        <v>16</v>
      </c>
      <c r="F17" s="128">
        <v>30.0</v>
      </c>
      <c r="G17" s="14" t="s">
        <v>2423</v>
      </c>
      <c r="H17" s="197" t="s">
        <v>2727</v>
      </c>
      <c r="I17" s="197" t="s">
        <v>3585</v>
      </c>
      <c r="J17" s="197" t="s">
        <v>3624</v>
      </c>
      <c r="K17" s="197" t="s">
        <v>3625</v>
      </c>
      <c r="L17" s="197" t="s">
        <v>1073</v>
      </c>
      <c r="M17" s="197" t="s">
        <v>3626</v>
      </c>
      <c r="N17" s="128">
        <v>15.0</v>
      </c>
      <c r="O17" s="14" t="s">
        <v>120</v>
      </c>
    </row>
    <row r="18" ht="37.5" customHeight="1">
      <c r="A18" s="13"/>
      <c r="B18" s="14" t="s">
        <v>314</v>
      </c>
      <c r="C18" s="128">
        <v>27.0</v>
      </c>
      <c r="D18" s="14" t="s">
        <v>157</v>
      </c>
      <c r="E18" s="14" t="s">
        <v>13</v>
      </c>
      <c r="F18" s="128">
        <v>29.0</v>
      </c>
      <c r="G18" s="14" t="s">
        <v>2423</v>
      </c>
      <c r="H18" s="197" t="s">
        <v>2439</v>
      </c>
      <c r="I18" s="197" t="s">
        <v>3585</v>
      </c>
      <c r="J18" s="197" t="s">
        <v>3627</v>
      </c>
      <c r="K18" s="197" t="s">
        <v>3628</v>
      </c>
      <c r="L18" s="197" t="s">
        <v>2489</v>
      </c>
      <c r="M18" s="197" t="s">
        <v>3629</v>
      </c>
      <c r="N18" s="128">
        <v>16.0</v>
      </c>
      <c r="O18" s="128" t="s">
        <v>120</v>
      </c>
    </row>
    <row r="19" ht="37.5" customHeight="1">
      <c r="A19" s="13"/>
      <c r="B19" s="14" t="s">
        <v>290</v>
      </c>
      <c r="C19" s="128">
        <v>29.0</v>
      </c>
      <c r="D19" s="14" t="s">
        <v>73</v>
      </c>
      <c r="E19" s="14" t="s">
        <v>13</v>
      </c>
      <c r="F19" s="128">
        <v>31.0</v>
      </c>
      <c r="G19" s="14" t="s">
        <v>2423</v>
      </c>
      <c r="H19" s="197" t="s">
        <v>2439</v>
      </c>
      <c r="I19" s="197" t="s">
        <v>3585</v>
      </c>
      <c r="J19" s="198" t="s">
        <v>3630</v>
      </c>
      <c r="K19" s="198" t="s">
        <v>3631</v>
      </c>
      <c r="L19" s="198" t="s">
        <v>2533</v>
      </c>
      <c r="M19" s="197" t="s">
        <v>3632</v>
      </c>
      <c r="N19" s="128">
        <v>17.0</v>
      </c>
      <c r="O19" s="128" t="s">
        <v>120</v>
      </c>
    </row>
    <row r="20" ht="37.5" customHeight="1">
      <c r="A20" s="13"/>
      <c r="B20" s="14" t="s">
        <v>324</v>
      </c>
      <c r="C20" s="128">
        <v>29.0</v>
      </c>
      <c r="D20" s="14" t="s">
        <v>65</v>
      </c>
      <c r="E20" s="14" t="s">
        <v>17</v>
      </c>
      <c r="F20" s="128">
        <v>40.0</v>
      </c>
      <c r="G20" s="14" t="s">
        <v>2423</v>
      </c>
      <c r="H20" s="197" t="s">
        <v>2439</v>
      </c>
      <c r="I20" s="197" t="s">
        <v>3585</v>
      </c>
      <c r="J20" s="197" t="s">
        <v>3633</v>
      </c>
      <c r="K20" s="198" t="s">
        <v>3634</v>
      </c>
      <c r="L20" s="198" t="s">
        <v>2836</v>
      </c>
      <c r="M20" s="197" t="s">
        <v>3635</v>
      </c>
      <c r="N20" s="128">
        <v>18.0</v>
      </c>
      <c r="O20" s="128" t="s">
        <v>120</v>
      </c>
    </row>
    <row r="21" ht="37.5" customHeight="1">
      <c r="A21" s="13"/>
      <c r="B21" s="14" t="s">
        <v>1302</v>
      </c>
      <c r="C21" s="128">
        <v>29.0</v>
      </c>
      <c r="D21" s="14" t="s">
        <v>73</v>
      </c>
      <c r="E21" s="14" t="s">
        <v>17</v>
      </c>
      <c r="F21" s="128">
        <v>30.0</v>
      </c>
      <c r="G21" s="14" t="s">
        <v>2423</v>
      </c>
      <c r="H21" s="197" t="s">
        <v>2439</v>
      </c>
      <c r="I21" s="197" t="s">
        <v>3585</v>
      </c>
      <c r="J21" s="198" t="s">
        <v>3636</v>
      </c>
      <c r="K21" s="198" t="s">
        <v>3637</v>
      </c>
      <c r="L21" s="198" t="s">
        <v>1539</v>
      </c>
      <c r="M21" s="197" t="s">
        <v>3638</v>
      </c>
      <c r="N21" s="128">
        <v>19.0</v>
      </c>
      <c r="O21" s="128" t="s">
        <v>120</v>
      </c>
    </row>
    <row r="22" ht="37.5" customHeight="1">
      <c r="A22" s="128"/>
      <c r="B22" s="128" t="s">
        <v>1183</v>
      </c>
      <c r="C22" s="128">
        <v>29.0</v>
      </c>
      <c r="D22" s="14" t="s">
        <v>94</v>
      </c>
      <c r="E22" s="128" t="s">
        <v>13</v>
      </c>
      <c r="F22" s="128">
        <v>36.0</v>
      </c>
      <c r="G22" s="14" t="s">
        <v>2423</v>
      </c>
      <c r="H22" s="197" t="s">
        <v>2439</v>
      </c>
      <c r="I22" s="197" t="s">
        <v>3585</v>
      </c>
      <c r="J22" s="197" t="s">
        <v>3639</v>
      </c>
      <c r="K22" s="197" t="s">
        <v>3640</v>
      </c>
      <c r="L22" s="197" t="s">
        <v>1209</v>
      </c>
      <c r="M22" s="197" t="s">
        <v>3641</v>
      </c>
      <c r="N22" s="128">
        <v>20.0</v>
      </c>
      <c r="O22" s="128" t="s">
        <v>120</v>
      </c>
    </row>
    <row r="23" ht="37.5" customHeight="1">
      <c r="A23" s="14"/>
      <c r="B23" s="14" t="s">
        <v>3642</v>
      </c>
      <c r="C23" s="128">
        <v>29.0</v>
      </c>
      <c r="D23" s="14" t="s">
        <v>65</v>
      </c>
      <c r="E23" s="14" t="s">
        <v>16</v>
      </c>
      <c r="F23" s="128">
        <v>30.0</v>
      </c>
      <c r="G23" s="14" t="s">
        <v>2423</v>
      </c>
      <c r="H23" s="197" t="s">
        <v>2439</v>
      </c>
      <c r="I23" s="197" t="s">
        <v>3585</v>
      </c>
      <c r="J23" s="198" t="s">
        <v>3643</v>
      </c>
      <c r="K23" s="198" t="s">
        <v>3644</v>
      </c>
      <c r="L23" s="198" t="s">
        <v>2467</v>
      </c>
      <c r="M23" s="197" t="s">
        <v>3645</v>
      </c>
      <c r="N23" s="128">
        <v>21.0</v>
      </c>
      <c r="O23" s="128" t="s">
        <v>120</v>
      </c>
    </row>
    <row r="24" ht="37.5" customHeight="1">
      <c r="A24" s="13"/>
      <c r="B24" s="14" t="s">
        <v>285</v>
      </c>
      <c r="C24" s="128">
        <v>29.0</v>
      </c>
      <c r="D24" s="128" t="s">
        <v>73</v>
      </c>
      <c r="E24" s="14" t="s">
        <v>13</v>
      </c>
      <c r="F24" s="128">
        <v>34.0</v>
      </c>
      <c r="G24" s="14" t="s">
        <v>2423</v>
      </c>
      <c r="H24" s="197" t="s">
        <v>2439</v>
      </c>
      <c r="I24" s="197" t="s">
        <v>3585</v>
      </c>
      <c r="J24" s="198" t="s">
        <v>3646</v>
      </c>
      <c r="K24" s="198" t="s">
        <v>3647</v>
      </c>
      <c r="L24" s="198" t="s">
        <v>1532</v>
      </c>
      <c r="M24" s="197" t="s">
        <v>3648</v>
      </c>
      <c r="N24" s="128">
        <v>22.0</v>
      </c>
      <c r="O24" s="128" t="s">
        <v>120</v>
      </c>
    </row>
    <row r="25" ht="37.5" customHeight="1">
      <c r="A25" s="13"/>
      <c r="B25" s="14" t="s">
        <v>267</v>
      </c>
      <c r="C25" s="128">
        <v>29.0</v>
      </c>
      <c r="D25" s="14" t="s">
        <v>65</v>
      </c>
      <c r="E25" s="14" t="s">
        <v>264</v>
      </c>
      <c r="F25" s="128">
        <v>30.0</v>
      </c>
      <c r="G25" s="14" t="s">
        <v>2423</v>
      </c>
      <c r="H25" s="197" t="s">
        <v>2439</v>
      </c>
      <c r="I25" s="197" t="s">
        <v>3585</v>
      </c>
      <c r="J25" s="198" t="s">
        <v>3649</v>
      </c>
      <c r="K25" s="198" t="s">
        <v>3650</v>
      </c>
      <c r="L25" s="198" t="s">
        <v>2836</v>
      </c>
      <c r="M25" s="197" t="s">
        <v>3651</v>
      </c>
      <c r="N25" s="128">
        <v>23.0</v>
      </c>
      <c r="O25" s="14" t="s">
        <v>120</v>
      </c>
    </row>
    <row r="26" ht="37.5" customHeight="1">
      <c r="A26" s="13"/>
      <c r="B26" s="14" t="s">
        <v>263</v>
      </c>
      <c r="C26" s="128">
        <v>29.0</v>
      </c>
      <c r="D26" s="14" t="s">
        <v>73</v>
      </c>
      <c r="E26" s="14" t="s">
        <v>264</v>
      </c>
      <c r="F26" s="128">
        <v>21.0</v>
      </c>
      <c r="G26" s="14" t="s">
        <v>2423</v>
      </c>
      <c r="H26" s="197" t="s">
        <v>2439</v>
      </c>
      <c r="I26" s="197" t="s">
        <v>3585</v>
      </c>
      <c r="J26" s="198" t="s">
        <v>3646</v>
      </c>
      <c r="K26" s="198" t="s">
        <v>3650</v>
      </c>
      <c r="L26" s="198" t="s">
        <v>1072</v>
      </c>
      <c r="M26" s="197" t="s">
        <v>3651</v>
      </c>
      <c r="N26" s="128">
        <v>24.0</v>
      </c>
      <c r="O26" s="14" t="s">
        <v>120</v>
      </c>
    </row>
    <row r="27" ht="37.5" customHeight="1">
      <c r="A27" s="13"/>
      <c r="B27" s="14" t="s">
        <v>275</v>
      </c>
      <c r="C27" s="128">
        <v>29.0</v>
      </c>
      <c r="D27" s="14" t="s">
        <v>83</v>
      </c>
      <c r="E27" s="14" t="s">
        <v>264</v>
      </c>
      <c r="F27" s="128">
        <v>21.0</v>
      </c>
      <c r="G27" s="14" t="s">
        <v>2423</v>
      </c>
      <c r="H27" s="197" t="s">
        <v>2439</v>
      </c>
      <c r="I27" s="197" t="s">
        <v>3585</v>
      </c>
      <c r="J27" s="198" t="s">
        <v>3646</v>
      </c>
      <c r="K27" s="198" t="s">
        <v>276</v>
      </c>
      <c r="L27" s="198" t="s">
        <v>1087</v>
      </c>
      <c r="M27" s="197" t="s">
        <v>3651</v>
      </c>
      <c r="N27" s="128">
        <v>25.0</v>
      </c>
      <c r="O27" s="14" t="s">
        <v>120</v>
      </c>
    </row>
    <row r="28" ht="37.5" customHeight="1">
      <c r="A28" s="13"/>
      <c r="B28" s="14" t="s">
        <v>296</v>
      </c>
      <c r="C28" s="128">
        <v>29.0</v>
      </c>
      <c r="D28" s="14" t="s">
        <v>83</v>
      </c>
      <c r="E28" s="14" t="s">
        <v>13</v>
      </c>
      <c r="F28" s="128">
        <v>50.0</v>
      </c>
      <c r="G28" s="14" t="s">
        <v>2423</v>
      </c>
      <c r="H28" s="197" t="s">
        <v>2439</v>
      </c>
      <c r="I28" s="197" t="s">
        <v>3585</v>
      </c>
      <c r="J28" s="198" t="s">
        <v>3652</v>
      </c>
      <c r="K28" s="198" t="s">
        <v>141</v>
      </c>
      <c r="L28" s="198" t="s">
        <v>895</v>
      </c>
      <c r="M28" s="197" t="s">
        <v>3653</v>
      </c>
      <c r="N28" s="128">
        <v>26.0</v>
      </c>
      <c r="O28" s="14" t="s">
        <v>120</v>
      </c>
    </row>
    <row r="29" ht="37.5" customHeight="1">
      <c r="A29" s="13"/>
      <c r="B29" s="14" t="s">
        <v>299</v>
      </c>
      <c r="C29" s="128">
        <v>29.0</v>
      </c>
      <c r="D29" s="128" t="s">
        <v>157</v>
      </c>
      <c r="E29" s="14" t="s">
        <v>17</v>
      </c>
      <c r="F29" s="128">
        <v>39.0</v>
      </c>
      <c r="G29" s="14" t="s">
        <v>2423</v>
      </c>
      <c r="H29" s="197" t="s">
        <v>2439</v>
      </c>
      <c r="I29" s="197" t="s">
        <v>3585</v>
      </c>
      <c r="J29" s="198" t="s">
        <v>3654</v>
      </c>
      <c r="K29" s="198" t="s">
        <v>3655</v>
      </c>
      <c r="L29" s="198" t="s">
        <v>3000</v>
      </c>
      <c r="M29" s="197" t="s">
        <v>3656</v>
      </c>
      <c r="N29" s="128">
        <v>27.0</v>
      </c>
      <c r="O29" s="14" t="s">
        <v>136</v>
      </c>
    </row>
    <row r="30" ht="37.5" customHeight="1">
      <c r="A30" s="13"/>
      <c r="B30" s="14" t="s">
        <v>326</v>
      </c>
      <c r="C30" s="128">
        <v>29.0</v>
      </c>
      <c r="D30" s="14" t="s">
        <v>65</v>
      </c>
      <c r="E30" s="14" t="s">
        <v>17</v>
      </c>
      <c r="F30" s="128">
        <v>40.0</v>
      </c>
      <c r="G30" s="14" t="s">
        <v>2423</v>
      </c>
      <c r="H30" s="197" t="s">
        <v>2439</v>
      </c>
      <c r="I30" s="197" t="s">
        <v>3585</v>
      </c>
      <c r="J30" s="198" t="s">
        <v>3657</v>
      </c>
      <c r="K30" s="198" t="s">
        <v>3658</v>
      </c>
      <c r="L30" s="198" t="s">
        <v>2457</v>
      </c>
      <c r="M30" s="197" t="s">
        <v>3659</v>
      </c>
      <c r="N30" s="128">
        <v>28.0</v>
      </c>
      <c r="O30" s="14" t="s">
        <v>136</v>
      </c>
    </row>
    <row r="31" ht="37.5" customHeight="1">
      <c r="A31" s="128"/>
      <c r="B31" s="128" t="s">
        <v>463</v>
      </c>
      <c r="C31" s="128">
        <v>28.0</v>
      </c>
      <c r="D31" s="128" t="s">
        <v>157</v>
      </c>
      <c r="E31" s="128" t="s">
        <v>16</v>
      </c>
      <c r="F31" s="128">
        <v>31.0</v>
      </c>
      <c r="G31" s="14" t="s">
        <v>2423</v>
      </c>
      <c r="H31" s="197" t="s">
        <v>2727</v>
      </c>
      <c r="I31" s="197" t="s">
        <v>3585</v>
      </c>
      <c r="J31" s="197" t="s">
        <v>3660</v>
      </c>
      <c r="K31" s="197" t="s">
        <v>3661</v>
      </c>
      <c r="L31" s="197" t="s">
        <v>2457</v>
      </c>
      <c r="M31" s="197" t="s">
        <v>3662</v>
      </c>
      <c r="N31" s="128">
        <v>29.0</v>
      </c>
      <c r="O31" s="128" t="s">
        <v>136</v>
      </c>
    </row>
    <row r="32" ht="37.5" customHeight="1">
      <c r="A32" s="13"/>
      <c r="B32" s="128" t="s">
        <v>810</v>
      </c>
      <c r="C32" s="128">
        <v>29.0</v>
      </c>
      <c r="D32" s="14" t="s">
        <v>83</v>
      </c>
      <c r="E32" s="128" t="s">
        <v>16</v>
      </c>
      <c r="F32" s="128">
        <v>38.0</v>
      </c>
      <c r="G32" s="14" t="s">
        <v>2423</v>
      </c>
      <c r="H32" s="197" t="s">
        <v>2727</v>
      </c>
      <c r="I32" s="197" t="s">
        <v>3585</v>
      </c>
      <c r="J32" s="197" t="s">
        <v>1647</v>
      </c>
      <c r="K32" s="197" t="s">
        <v>3663</v>
      </c>
      <c r="L32" s="197" t="s">
        <v>1087</v>
      </c>
      <c r="M32" s="197" t="s">
        <v>3664</v>
      </c>
      <c r="N32" s="128">
        <v>30.0</v>
      </c>
      <c r="O32" s="14" t="s">
        <v>136</v>
      </c>
    </row>
    <row r="33" ht="37.5" customHeight="1">
      <c r="A33" s="13"/>
      <c r="B33" s="14" t="s">
        <v>278</v>
      </c>
      <c r="C33" s="128">
        <v>29.0</v>
      </c>
      <c r="D33" s="128" t="s">
        <v>65</v>
      </c>
      <c r="E33" s="14" t="s">
        <v>264</v>
      </c>
      <c r="F33" s="128">
        <v>28.0</v>
      </c>
      <c r="G33" s="14" t="s">
        <v>2423</v>
      </c>
      <c r="H33" s="197" t="s">
        <v>2439</v>
      </c>
      <c r="I33" s="197" t="s">
        <v>3585</v>
      </c>
      <c r="J33" s="198" t="s">
        <v>125</v>
      </c>
      <c r="K33" s="198" t="s">
        <v>3665</v>
      </c>
      <c r="L33" s="198" t="s">
        <v>279</v>
      </c>
      <c r="M33" s="197" t="s">
        <v>3666</v>
      </c>
      <c r="N33" s="128">
        <v>31.0</v>
      </c>
      <c r="O33" s="14" t="s">
        <v>136</v>
      </c>
    </row>
    <row r="34" ht="37.5" customHeight="1">
      <c r="A34" s="13"/>
      <c r="B34" s="14" t="s">
        <v>308</v>
      </c>
      <c r="C34" s="128">
        <v>29.0</v>
      </c>
      <c r="D34" s="14" t="s">
        <v>157</v>
      </c>
      <c r="E34" s="14" t="s">
        <v>264</v>
      </c>
      <c r="F34" s="128">
        <v>19.0</v>
      </c>
      <c r="G34" s="14" t="s">
        <v>2423</v>
      </c>
      <c r="H34" s="197" t="s">
        <v>2439</v>
      </c>
      <c r="I34" s="197" t="s">
        <v>3585</v>
      </c>
      <c r="J34" s="198" t="s">
        <v>186</v>
      </c>
      <c r="K34" s="198" t="s">
        <v>315</v>
      </c>
      <c r="L34" s="198" t="s">
        <v>1073</v>
      </c>
      <c r="M34" s="197" t="s">
        <v>3667</v>
      </c>
      <c r="N34" s="128">
        <v>32.0</v>
      </c>
      <c r="O34" s="14" t="s">
        <v>167</v>
      </c>
    </row>
    <row r="35" ht="37.5" customHeight="1">
      <c r="A35" s="13"/>
      <c r="B35" s="14" t="s">
        <v>330</v>
      </c>
      <c r="C35" s="128">
        <v>29.0</v>
      </c>
      <c r="D35" s="14" t="s">
        <v>94</v>
      </c>
      <c r="E35" s="14" t="s">
        <v>16</v>
      </c>
      <c r="F35" s="128">
        <v>34.0</v>
      </c>
      <c r="G35" s="14" t="s">
        <v>2423</v>
      </c>
      <c r="H35" s="197" t="s">
        <v>2727</v>
      </c>
      <c r="I35" s="197" t="s">
        <v>3585</v>
      </c>
      <c r="J35" s="198" t="s">
        <v>3668</v>
      </c>
      <c r="K35" s="198" t="s">
        <v>3669</v>
      </c>
      <c r="L35" s="198" t="s">
        <v>2462</v>
      </c>
      <c r="M35" s="197" t="s">
        <v>3670</v>
      </c>
      <c r="N35" s="128">
        <v>33.0</v>
      </c>
      <c r="O35" s="14" t="s">
        <v>167</v>
      </c>
    </row>
    <row r="36" ht="37.5" customHeight="1">
      <c r="A36" s="13"/>
      <c r="B36" s="14" t="s">
        <v>305</v>
      </c>
      <c r="C36" s="128">
        <v>29.0</v>
      </c>
      <c r="D36" s="14" t="s">
        <v>65</v>
      </c>
      <c r="E36" s="14" t="s">
        <v>14</v>
      </c>
      <c r="F36" s="128">
        <v>50.0</v>
      </c>
      <c r="G36" s="14" t="s">
        <v>2423</v>
      </c>
      <c r="H36" s="197" t="s">
        <v>2439</v>
      </c>
      <c r="I36" s="197" t="s">
        <v>3585</v>
      </c>
      <c r="J36" s="198" t="s">
        <v>90</v>
      </c>
      <c r="K36" s="198" t="s">
        <v>3671</v>
      </c>
      <c r="L36" s="198" t="s">
        <v>307</v>
      </c>
      <c r="M36" s="197" t="s">
        <v>3672</v>
      </c>
      <c r="N36" s="128">
        <v>34.0</v>
      </c>
      <c r="O36" s="14" t="s">
        <v>167</v>
      </c>
    </row>
    <row r="37" ht="37.5" customHeight="1">
      <c r="A37" s="13"/>
      <c r="B37" s="14" t="s">
        <v>316</v>
      </c>
      <c r="C37" s="128">
        <v>29.0</v>
      </c>
      <c r="D37" s="128" t="s">
        <v>65</v>
      </c>
      <c r="E37" s="14" t="s">
        <v>264</v>
      </c>
      <c r="F37" s="128">
        <v>26.0</v>
      </c>
      <c r="G37" s="14" t="s">
        <v>2423</v>
      </c>
      <c r="H37" s="197" t="s">
        <v>2439</v>
      </c>
      <c r="I37" s="197" t="s">
        <v>3585</v>
      </c>
      <c r="J37" s="198" t="s">
        <v>3673</v>
      </c>
      <c r="K37" s="198" t="s">
        <v>3674</v>
      </c>
      <c r="L37" s="198" t="s">
        <v>1087</v>
      </c>
      <c r="M37" s="197" t="s">
        <v>3675</v>
      </c>
      <c r="N37" s="128">
        <v>35.0</v>
      </c>
      <c r="O37" s="14" t="s">
        <v>167</v>
      </c>
    </row>
    <row r="38" ht="37.5" customHeight="1">
      <c r="A38" s="128"/>
      <c r="B38" s="14" t="s">
        <v>318</v>
      </c>
      <c r="C38" s="128">
        <v>26.0</v>
      </c>
      <c r="D38" s="14" t="s">
        <v>65</v>
      </c>
      <c r="E38" s="14" t="s">
        <v>17</v>
      </c>
      <c r="F38" s="128">
        <v>26.0</v>
      </c>
      <c r="G38" s="14" t="s">
        <v>2423</v>
      </c>
      <c r="H38" s="197" t="s">
        <v>2439</v>
      </c>
      <c r="I38" s="197" t="s">
        <v>3585</v>
      </c>
      <c r="J38" s="197" t="s">
        <v>90</v>
      </c>
      <c r="K38" s="197" t="s">
        <v>141</v>
      </c>
      <c r="L38" s="197" t="s">
        <v>720</v>
      </c>
      <c r="M38" s="197" t="s">
        <v>3676</v>
      </c>
      <c r="N38" s="128">
        <v>36.0</v>
      </c>
      <c r="O38" s="128" t="s">
        <v>423</v>
      </c>
    </row>
    <row r="39" ht="37.5" customHeight="1">
      <c r="A39" s="13"/>
      <c r="B39" s="14" t="s">
        <v>321</v>
      </c>
      <c r="C39" s="128">
        <v>29.0</v>
      </c>
      <c r="D39" s="14" t="s">
        <v>65</v>
      </c>
      <c r="E39" s="14" t="s">
        <v>264</v>
      </c>
      <c r="F39" s="128">
        <v>28.0</v>
      </c>
      <c r="G39" s="14" t="s">
        <v>2423</v>
      </c>
      <c r="H39" s="197" t="s">
        <v>2439</v>
      </c>
      <c r="I39" s="197" t="s">
        <v>3585</v>
      </c>
      <c r="J39" s="198" t="s">
        <v>1032</v>
      </c>
      <c r="K39" s="198" t="s">
        <v>141</v>
      </c>
      <c r="L39" s="198" t="s">
        <v>895</v>
      </c>
      <c r="M39" s="197" t="s">
        <v>3677</v>
      </c>
      <c r="N39" s="128">
        <v>37.0</v>
      </c>
      <c r="O39" s="14" t="s">
        <v>423</v>
      </c>
    </row>
    <row r="40" ht="37.5" customHeight="1">
      <c r="A40" s="13"/>
      <c r="B40" s="14" t="s">
        <v>303</v>
      </c>
      <c r="C40" s="128">
        <v>15.0</v>
      </c>
      <c r="D40" s="14" t="s">
        <v>73</v>
      </c>
      <c r="E40" s="14" t="s">
        <v>264</v>
      </c>
      <c r="F40" s="128">
        <v>18.0</v>
      </c>
      <c r="G40" s="14" t="s">
        <v>2597</v>
      </c>
      <c r="H40" s="197" t="s">
        <v>2439</v>
      </c>
      <c r="I40" s="197" t="s">
        <v>3585</v>
      </c>
      <c r="J40" s="198" t="s">
        <v>90</v>
      </c>
      <c r="K40" s="198" t="s">
        <v>247</v>
      </c>
      <c r="L40" s="198" t="s">
        <v>75</v>
      </c>
      <c r="M40" s="197" t="s">
        <v>3632</v>
      </c>
      <c r="N40" s="128">
        <v>38.0</v>
      </c>
      <c r="O40" s="14" t="s">
        <v>423</v>
      </c>
    </row>
    <row r="41" ht="37.5" customHeight="1">
      <c r="A41" s="13"/>
      <c r="B41" s="14" t="s">
        <v>319</v>
      </c>
      <c r="C41" s="128">
        <v>16.0</v>
      </c>
      <c r="D41" s="14" t="s">
        <v>94</v>
      </c>
      <c r="E41" s="14" t="s">
        <v>17</v>
      </c>
      <c r="F41" s="128">
        <v>38.0</v>
      </c>
      <c r="G41" s="14" t="s">
        <v>2597</v>
      </c>
      <c r="H41" s="197" t="s">
        <v>2439</v>
      </c>
      <c r="I41" s="197" t="s">
        <v>3585</v>
      </c>
      <c r="J41" s="198" t="s">
        <v>79</v>
      </c>
      <c r="K41" s="198" t="s">
        <v>3678</v>
      </c>
      <c r="L41" s="198" t="s">
        <v>1073</v>
      </c>
      <c r="M41" s="197" t="s">
        <v>3679</v>
      </c>
      <c r="N41" s="128">
        <v>39.0</v>
      </c>
      <c r="O41" s="14" t="s">
        <v>423</v>
      </c>
    </row>
    <row r="42" ht="37.5" customHeight="1">
      <c r="A42" s="13"/>
      <c r="B42" s="14" t="s">
        <v>327</v>
      </c>
      <c r="C42" s="128">
        <v>29.0</v>
      </c>
      <c r="D42" s="14" t="s">
        <v>94</v>
      </c>
      <c r="E42" s="14" t="s">
        <v>14</v>
      </c>
      <c r="F42" s="128">
        <v>52.0</v>
      </c>
      <c r="G42" s="14" t="s">
        <v>2423</v>
      </c>
      <c r="H42" s="197" t="s">
        <v>2439</v>
      </c>
      <c r="I42" s="197" t="s">
        <v>3585</v>
      </c>
      <c r="J42" s="198" t="s">
        <v>3680</v>
      </c>
      <c r="K42" s="198" t="s">
        <v>900</v>
      </c>
      <c r="L42" s="198" t="s">
        <v>1075</v>
      </c>
      <c r="M42" s="197" t="s">
        <v>3681</v>
      </c>
      <c r="N42" s="128">
        <v>40.0</v>
      </c>
      <c r="O42" s="14" t="s">
        <v>447</v>
      </c>
    </row>
    <row r="43" ht="37.5" customHeight="1">
      <c r="A43" s="13"/>
      <c r="B43" s="14" t="s">
        <v>312</v>
      </c>
      <c r="C43" s="128">
        <v>13.0</v>
      </c>
      <c r="D43" s="14" t="s">
        <v>73</v>
      </c>
      <c r="E43" s="14" t="s">
        <v>13</v>
      </c>
      <c r="F43" s="128">
        <v>40.0</v>
      </c>
      <c r="G43" s="14" t="s">
        <v>2597</v>
      </c>
      <c r="H43" s="197" t="s">
        <v>2439</v>
      </c>
      <c r="I43" s="197" t="s">
        <v>3585</v>
      </c>
      <c r="J43" s="198" t="s">
        <v>85</v>
      </c>
      <c r="K43" s="198" t="s">
        <v>3682</v>
      </c>
      <c r="L43" s="198" t="s">
        <v>425</v>
      </c>
      <c r="M43" s="197" t="s">
        <v>3683</v>
      </c>
      <c r="N43" s="128">
        <v>41.0</v>
      </c>
      <c r="O43" s="14" t="s">
        <v>447</v>
      </c>
    </row>
    <row r="44" ht="37.5" customHeight="1">
      <c r="A44" s="13"/>
      <c r="B44" s="14" t="s">
        <v>323</v>
      </c>
      <c r="C44" s="128">
        <v>10.0</v>
      </c>
      <c r="D44" s="14" t="s">
        <v>73</v>
      </c>
      <c r="E44" s="14" t="s">
        <v>13</v>
      </c>
      <c r="F44" s="128">
        <v>50.0</v>
      </c>
      <c r="G44" s="14" t="s">
        <v>2597</v>
      </c>
      <c r="H44" s="197" t="s">
        <v>3221</v>
      </c>
      <c r="I44" s="197" t="s">
        <v>3585</v>
      </c>
      <c r="J44" s="198" t="s">
        <v>3684</v>
      </c>
      <c r="K44" s="198" t="s">
        <v>269</v>
      </c>
      <c r="L44" s="198" t="s">
        <v>75</v>
      </c>
      <c r="M44" s="197" t="s">
        <v>3685</v>
      </c>
      <c r="N44" s="128">
        <v>42.0</v>
      </c>
      <c r="O44" s="14" t="s">
        <v>447</v>
      </c>
    </row>
    <row r="45" ht="37.5" customHeight="1">
      <c r="A45" s="13"/>
      <c r="B45" s="14" t="s">
        <v>328</v>
      </c>
      <c r="C45" s="128">
        <v>29.0</v>
      </c>
      <c r="D45" s="14" t="s">
        <v>94</v>
      </c>
      <c r="E45" s="14" t="s">
        <v>17</v>
      </c>
      <c r="F45" s="128">
        <v>39.0</v>
      </c>
      <c r="G45" s="14" t="s">
        <v>2423</v>
      </c>
      <c r="H45" s="197" t="s">
        <v>2439</v>
      </c>
      <c r="I45" s="197" t="s">
        <v>3585</v>
      </c>
      <c r="J45" s="198" t="s">
        <v>112</v>
      </c>
      <c r="K45" s="198" t="s">
        <v>739</v>
      </c>
      <c r="L45" s="198" t="s">
        <v>1083</v>
      </c>
      <c r="M45" s="197" t="s">
        <v>3686</v>
      </c>
      <c r="N45" s="128">
        <v>43.0</v>
      </c>
      <c r="O45" s="14" t="s">
        <v>447</v>
      </c>
    </row>
  </sheetData>
  <autoFilter ref="$A$2:$O$45">
    <sortState ref="A2:O45">
      <sortCondition ref="N2:N45"/>
      <sortCondition ref="B2:B45"/>
    </sortState>
  </autoFilter>
  <mergeCells count="4">
    <mergeCell ref="A1:B1"/>
    <mergeCell ref="C1:G1"/>
    <mergeCell ref="H1:L1"/>
    <mergeCell ref="M1:O1"/>
  </mergeCells>
  <conditionalFormatting sqref="O3:O36 O38:O45">
    <cfRule type="cellIs" dxfId="3" priority="1" operator="equal">
      <formula>"F"</formula>
    </cfRule>
  </conditionalFormatting>
  <conditionalFormatting sqref="O3:O36 O38:O45">
    <cfRule type="cellIs" dxfId="4" priority="2" operator="equal">
      <formula>"E"</formula>
    </cfRule>
  </conditionalFormatting>
  <conditionalFormatting sqref="N3:O45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45">
    <cfRule type="cellIs" dxfId="13" priority="4" operator="equal">
      <formula>"Solar"</formula>
    </cfRule>
  </conditionalFormatting>
  <conditionalFormatting sqref="D3:D45">
    <cfRule type="cellIs" dxfId="20" priority="5" operator="equal">
      <formula>"Arc"</formula>
    </cfRule>
  </conditionalFormatting>
  <conditionalFormatting sqref="D3:D45">
    <cfRule type="cellIs" dxfId="21" priority="6" operator="equal">
      <formula>"Stasis"</formula>
    </cfRule>
  </conditionalFormatting>
  <conditionalFormatting sqref="D3:D45">
    <cfRule type="cellIs" dxfId="18" priority="7" operator="equal">
      <formula>"Void"</formula>
    </cfRule>
  </conditionalFormatting>
  <conditionalFormatting sqref="D3:D45">
    <cfRule type="cellIs" dxfId="17" priority="8" operator="equal">
      <formula>"Strand"</formula>
    </cfRule>
  </conditionalFormatting>
  <conditionalFormatting sqref="G3:G45">
    <cfRule type="cellIs" dxfId="17" priority="9" operator="equal">
      <formula>"Yes"</formula>
    </cfRule>
  </conditionalFormatting>
  <conditionalFormatting sqref="G3:G45">
    <cfRule type="cellIs" dxfId="2" priority="10" operator="equal">
      <formula>"No"</formula>
    </cfRule>
  </conditionalFormatting>
  <conditionalFormatting sqref="O3:O45">
    <cfRule type="cellIs" dxfId="5" priority="11" operator="equal">
      <formula>"S"</formula>
    </cfRule>
  </conditionalFormatting>
  <conditionalFormatting sqref="O3:O45">
    <cfRule type="cellIs" dxfId="6" priority="12" operator="equal">
      <formula>"B"</formula>
    </cfRule>
  </conditionalFormatting>
  <conditionalFormatting sqref="O3:O45">
    <cfRule type="cellIs" dxfId="7" priority="13" operator="equal">
      <formula>"D"</formula>
    </cfRule>
  </conditionalFormatting>
  <conditionalFormatting sqref="O3:O45">
    <cfRule type="cellIs" dxfId="8" priority="14" operator="equal">
      <formula>"C"</formula>
    </cfRule>
  </conditionalFormatting>
  <conditionalFormatting sqref="O3:O45">
    <cfRule type="cellIs" dxfId="9" priority="15" operator="equal">
      <formula>"A"</formula>
    </cfRule>
  </conditionalFormatting>
  <conditionalFormatting sqref="D3:D45">
    <cfRule type="cellIs" dxfId="19" priority="16" operator="equal">
      <formula>"Kinetic"</formula>
    </cfRule>
  </conditionalFormatting>
  <conditionalFormatting sqref="F3:F45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45">
    <cfRule type="expression" dxfId="12" priority="18">
      <formula>$C3=MAX($C$7:$C45)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25"/>
    <col customWidth="1" min="6" max="7" width="7.75"/>
    <col customWidth="1" min="8" max="8" width="5.88"/>
    <col customWidth="1" min="9" max="10" width="16.38"/>
    <col customWidth="1" min="11" max="11" width="18.75"/>
    <col customWidth="1" min="12" max="12" width="16.38"/>
    <col customWidth="1" min="13" max="13" width="12.38"/>
    <col customWidth="1" min="14" max="14" width="18.88"/>
    <col customWidth="1" min="15" max="15" width="7.5"/>
    <col customWidth="1" min="16" max="16" width="7.38"/>
  </cols>
  <sheetData>
    <row r="1" ht="15.0" customHeight="1">
      <c r="A1" s="190" t="s">
        <v>47</v>
      </c>
      <c r="C1" s="191" t="s">
        <v>1979</v>
      </c>
      <c r="I1" s="192" t="s">
        <v>181</v>
      </c>
      <c r="N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4" t="s">
        <v>3687</v>
      </c>
      <c r="H2" s="194" t="s">
        <v>2416</v>
      </c>
      <c r="I2" s="194" t="s">
        <v>2417</v>
      </c>
      <c r="J2" s="194" t="s">
        <v>2418</v>
      </c>
      <c r="K2" s="194" t="s">
        <v>2419</v>
      </c>
      <c r="L2" s="194" t="s">
        <v>2420</v>
      </c>
      <c r="M2" s="126" t="s">
        <v>2421</v>
      </c>
      <c r="N2" s="126" t="s">
        <v>421</v>
      </c>
      <c r="O2" s="196" t="s">
        <v>2422</v>
      </c>
      <c r="P2" s="196" t="s">
        <v>63</v>
      </c>
    </row>
    <row r="3" ht="37.5" customHeight="1">
      <c r="A3" s="13"/>
      <c r="B3" s="128" t="s">
        <v>1244</v>
      </c>
      <c r="C3" s="128">
        <v>29.0</v>
      </c>
      <c r="D3" s="128" t="s">
        <v>157</v>
      </c>
      <c r="E3" s="14" t="s">
        <v>16</v>
      </c>
      <c r="F3" s="128">
        <v>31.0</v>
      </c>
      <c r="G3" s="128">
        <v>42.0</v>
      </c>
      <c r="H3" s="14" t="s">
        <v>2423</v>
      </c>
      <c r="I3" s="197" t="s">
        <v>3688</v>
      </c>
      <c r="J3" s="197" t="s">
        <v>3689</v>
      </c>
      <c r="K3" s="197" t="s">
        <v>3690</v>
      </c>
      <c r="L3" s="197" t="s">
        <v>1931</v>
      </c>
      <c r="M3" s="197" t="s">
        <v>2836</v>
      </c>
      <c r="N3" s="197" t="s">
        <v>3691</v>
      </c>
      <c r="O3" s="128">
        <v>1.0</v>
      </c>
      <c r="P3" s="128" t="s">
        <v>71</v>
      </c>
    </row>
    <row r="4" ht="37.5" customHeight="1">
      <c r="A4" s="13"/>
      <c r="B4" s="128" t="s">
        <v>815</v>
      </c>
      <c r="C4" s="128">
        <v>29.0</v>
      </c>
      <c r="D4" s="128" t="s">
        <v>83</v>
      </c>
      <c r="E4" s="14" t="s">
        <v>13</v>
      </c>
      <c r="F4" s="128">
        <v>44.0</v>
      </c>
      <c r="G4" s="128">
        <v>44.0</v>
      </c>
      <c r="H4" s="14" t="s">
        <v>2423</v>
      </c>
      <c r="I4" s="197" t="s">
        <v>3688</v>
      </c>
      <c r="J4" s="197" t="s">
        <v>3689</v>
      </c>
      <c r="K4" s="197" t="s">
        <v>3692</v>
      </c>
      <c r="L4" s="197" t="s">
        <v>3693</v>
      </c>
      <c r="M4" s="197" t="s">
        <v>2436</v>
      </c>
      <c r="N4" s="197" t="s">
        <v>3694</v>
      </c>
      <c r="O4" s="128">
        <v>2.0</v>
      </c>
      <c r="P4" s="14" t="s">
        <v>71</v>
      </c>
    </row>
    <row r="5" ht="37.5" customHeight="1">
      <c r="A5" s="13"/>
      <c r="B5" s="14" t="s">
        <v>1318</v>
      </c>
      <c r="C5" s="128">
        <v>29.0</v>
      </c>
      <c r="D5" s="14" t="s">
        <v>94</v>
      </c>
      <c r="E5" s="14" t="s">
        <v>14</v>
      </c>
      <c r="F5" s="128">
        <v>65.0</v>
      </c>
      <c r="G5" s="14">
        <v>28.0</v>
      </c>
      <c r="H5" s="14" t="s">
        <v>2423</v>
      </c>
      <c r="I5" s="197" t="s">
        <v>3688</v>
      </c>
      <c r="J5" s="197" t="s">
        <v>3689</v>
      </c>
      <c r="K5" s="198" t="s">
        <v>3695</v>
      </c>
      <c r="L5" s="198" t="s">
        <v>3696</v>
      </c>
      <c r="M5" s="198" t="s">
        <v>1063</v>
      </c>
      <c r="N5" s="197" t="s">
        <v>3697</v>
      </c>
      <c r="O5" s="128">
        <v>3.0</v>
      </c>
      <c r="P5" s="14" t="s">
        <v>71</v>
      </c>
    </row>
    <row r="6" ht="37.5" customHeight="1">
      <c r="A6" s="13"/>
      <c r="B6" s="128" t="s">
        <v>507</v>
      </c>
      <c r="C6" s="128">
        <v>28.0</v>
      </c>
      <c r="D6" s="128" t="s">
        <v>94</v>
      </c>
      <c r="E6" s="14" t="s">
        <v>16</v>
      </c>
      <c r="F6" s="128">
        <v>52.0</v>
      </c>
      <c r="G6" s="128">
        <v>39.0</v>
      </c>
      <c r="H6" s="14" t="s">
        <v>2423</v>
      </c>
      <c r="I6" s="197" t="s">
        <v>3688</v>
      </c>
      <c r="J6" s="197" t="s">
        <v>3689</v>
      </c>
      <c r="K6" s="198" t="s">
        <v>3698</v>
      </c>
      <c r="L6" s="197" t="s">
        <v>3699</v>
      </c>
      <c r="M6" s="197" t="s">
        <v>2538</v>
      </c>
      <c r="N6" s="197" t="s">
        <v>3700</v>
      </c>
      <c r="O6" s="128">
        <v>4.0</v>
      </c>
      <c r="P6" s="128" t="s">
        <v>71</v>
      </c>
    </row>
    <row r="7" ht="37.5" customHeight="1">
      <c r="A7" s="13"/>
      <c r="B7" s="14" t="s">
        <v>3701</v>
      </c>
      <c r="C7" s="128">
        <v>29.0</v>
      </c>
      <c r="D7" s="14" t="s">
        <v>73</v>
      </c>
      <c r="E7" s="14" t="s">
        <v>13</v>
      </c>
      <c r="F7" s="128">
        <v>40.0</v>
      </c>
      <c r="G7" s="14">
        <v>40.0</v>
      </c>
      <c r="H7" s="14" t="s">
        <v>2423</v>
      </c>
      <c r="I7" s="197" t="s">
        <v>3688</v>
      </c>
      <c r="J7" s="197" t="s">
        <v>3689</v>
      </c>
      <c r="K7" s="198" t="s">
        <v>3702</v>
      </c>
      <c r="L7" s="198" t="s">
        <v>3703</v>
      </c>
      <c r="M7" s="198" t="s">
        <v>3000</v>
      </c>
      <c r="N7" s="197" t="s">
        <v>3704</v>
      </c>
      <c r="O7" s="128">
        <v>5.0</v>
      </c>
      <c r="P7" s="128" t="s">
        <v>71</v>
      </c>
    </row>
    <row r="8" ht="37.5" customHeight="1">
      <c r="A8" s="13"/>
      <c r="B8" s="14" t="s">
        <v>3705</v>
      </c>
      <c r="C8" s="128">
        <v>29.0</v>
      </c>
      <c r="D8" s="14" t="s">
        <v>65</v>
      </c>
      <c r="E8" s="14" t="s">
        <v>13</v>
      </c>
      <c r="F8" s="128">
        <v>50.0</v>
      </c>
      <c r="G8" s="14">
        <v>42.0</v>
      </c>
      <c r="H8" s="14" t="s">
        <v>2423</v>
      </c>
      <c r="I8" s="197" t="s">
        <v>3688</v>
      </c>
      <c r="J8" s="197" t="s">
        <v>3689</v>
      </c>
      <c r="K8" s="198" t="s">
        <v>3706</v>
      </c>
      <c r="L8" s="198" t="s">
        <v>247</v>
      </c>
      <c r="M8" s="198" t="s">
        <v>2645</v>
      </c>
      <c r="N8" s="197" t="s">
        <v>3707</v>
      </c>
      <c r="O8" s="128">
        <v>6.0</v>
      </c>
      <c r="P8" s="14" t="s">
        <v>71</v>
      </c>
    </row>
    <row r="9" ht="37.5" customHeight="1">
      <c r="A9" s="13"/>
      <c r="B9" s="14" t="s">
        <v>3708</v>
      </c>
      <c r="C9" s="128">
        <v>29.0</v>
      </c>
      <c r="D9" s="14" t="s">
        <v>94</v>
      </c>
      <c r="E9" s="14" t="s">
        <v>13</v>
      </c>
      <c r="F9" s="128">
        <v>41.0</v>
      </c>
      <c r="G9" s="14">
        <v>47.0</v>
      </c>
      <c r="H9" s="14" t="s">
        <v>2423</v>
      </c>
      <c r="I9" s="197" t="s">
        <v>3688</v>
      </c>
      <c r="J9" s="197" t="s">
        <v>3689</v>
      </c>
      <c r="K9" s="198" t="s">
        <v>3709</v>
      </c>
      <c r="L9" s="198" t="s">
        <v>3710</v>
      </c>
      <c r="M9" s="198" t="s">
        <v>2543</v>
      </c>
      <c r="N9" s="197" t="s">
        <v>3711</v>
      </c>
      <c r="O9" s="128">
        <v>7.0</v>
      </c>
      <c r="P9" s="14" t="s">
        <v>71</v>
      </c>
    </row>
    <row r="10" ht="37.5" customHeight="1">
      <c r="A10" s="13"/>
      <c r="B10" s="128" t="s">
        <v>663</v>
      </c>
      <c r="C10" s="128">
        <v>29.0</v>
      </c>
      <c r="D10" s="14" t="s">
        <v>73</v>
      </c>
      <c r="E10" s="14" t="s">
        <v>14</v>
      </c>
      <c r="F10" s="128">
        <v>64.0</v>
      </c>
      <c r="G10" s="14">
        <v>18.0</v>
      </c>
      <c r="H10" s="14" t="s">
        <v>2423</v>
      </c>
      <c r="I10" s="197" t="s">
        <v>3688</v>
      </c>
      <c r="J10" s="197" t="s">
        <v>3689</v>
      </c>
      <c r="K10" s="197" t="s">
        <v>3712</v>
      </c>
      <c r="L10" s="198" t="s">
        <v>3713</v>
      </c>
      <c r="M10" s="198" t="s">
        <v>1522</v>
      </c>
      <c r="N10" s="197" t="s">
        <v>3714</v>
      </c>
      <c r="O10" s="128">
        <v>8.0</v>
      </c>
      <c r="P10" s="128" t="s">
        <v>71</v>
      </c>
    </row>
    <row r="11" ht="37.5" customHeight="1">
      <c r="A11" s="13"/>
      <c r="B11" s="14" t="s">
        <v>2040</v>
      </c>
      <c r="C11" s="128">
        <v>29.0</v>
      </c>
      <c r="D11" s="14" t="s">
        <v>94</v>
      </c>
      <c r="E11" s="14" t="s">
        <v>13</v>
      </c>
      <c r="F11" s="128">
        <v>45.0</v>
      </c>
      <c r="G11" s="14">
        <v>45.0</v>
      </c>
      <c r="H11" s="14" t="s">
        <v>2423</v>
      </c>
      <c r="I11" s="197" t="s">
        <v>3688</v>
      </c>
      <c r="J11" s="197" t="s">
        <v>3689</v>
      </c>
      <c r="K11" s="198" t="s">
        <v>3715</v>
      </c>
      <c r="L11" s="198" t="s">
        <v>3716</v>
      </c>
      <c r="M11" s="198" t="s">
        <v>1075</v>
      </c>
      <c r="N11" s="197" t="s">
        <v>3717</v>
      </c>
      <c r="O11" s="128">
        <v>9.0</v>
      </c>
      <c r="P11" s="14" t="s">
        <v>71</v>
      </c>
    </row>
    <row r="12" ht="37.5" customHeight="1">
      <c r="A12" s="13"/>
      <c r="B12" s="14" t="s">
        <v>3718</v>
      </c>
      <c r="C12" s="128">
        <v>21.0</v>
      </c>
      <c r="D12" s="14" t="s">
        <v>65</v>
      </c>
      <c r="E12" s="14" t="s">
        <v>13</v>
      </c>
      <c r="F12" s="128">
        <v>51.0</v>
      </c>
      <c r="G12" s="14">
        <v>50.0</v>
      </c>
      <c r="H12" s="14" t="s">
        <v>2597</v>
      </c>
      <c r="I12" s="197" t="s">
        <v>3688</v>
      </c>
      <c r="J12" s="197" t="s">
        <v>3689</v>
      </c>
      <c r="K12" s="198" t="s">
        <v>3719</v>
      </c>
      <c r="L12" s="198" t="s">
        <v>3720</v>
      </c>
      <c r="M12" s="198" t="s">
        <v>1057</v>
      </c>
      <c r="N12" s="197" t="s">
        <v>3721</v>
      </c>
      <c r="O12" s="128">
        <v>10.0</v>
      </c>
      <c r="P12" s="128" t="s">
        <v>92</v>
      </c>
    </row>
    <row r="13" ht="37.5" customHeight="1">
      <c r="A13" s="128"/>
      <c r="B13" s="128" t="s">
        <v>784</v>
      </c>
      <c r="C13" s="128">
        <v>29.0</v>
      </c>
      <c r="D13" s="128" t="s">
        <v>65</v>
      </c>
      <c r="E13" s="128" t="s">
        <v>14</v>
      </c>
      <c r="F13" s="128">
        <v>65.0</v>
      </c>
      <c r="G13" s="128">
        <v>27.0</v>
      </c>
      <c r="H13" s="14" t="s">
        <v>2423</v>
      </c>
      <c r="I13" s="197" t="s">
        <v>3688</v>
      </c>
      <c r="J13" s="197" t="s">
        <v>3689</v>
      </c>
      <c r="K13" s="197" t="s">
        <v>3722</v>
      </c>
      <c r="L13" s="197" t="s">
        <v>3723</v>
      </c>
      <c r="M13" s="197" t="s">
        <v>425</v>
      </c>
      <c r="N13" s="197" t="s">
        <v>3724</v>
      </c>
      <c r="O13" s="128">
        <v>11.0</v>
      </c>
      <c r="P13" s="14" t="s">
        <v>92</v>
      </c>
    </row>
    <row r="14" ht="37.5" customHeight="1">
      <c r="A14" s="13"/>
      <c r="B14" s="14" t="s">
        <v>3725</v>
      </c>
      <c r="C14" s="128">
        <v>26.0</v>
      </c>
      <c r="D14" s="14" t="s">
        <v>73</v>
      </c>
      <c r="E14" s="14" t="s">
        <v>14</v>
      </c>
      <c r="F14" s="128">
        <v>64.0</v>
      </c>
      <c r="G14" s="14">
        <v>18.0</v>
      </c>
      <c r="H14" s="14" t="s">
        <v>2423</v>
      </c>
      <c r="I14" s="197" t="s">
        <v>3688</v>
      </c>
      <c r="J14" s="197" t="s">
        <v>3689</v>
      </c>
      <c r="K14" s="198" t="s">
        <v>3726</v>
      </c>
      <c r="L14" s="198" t="s">
        <v>3727</v>
      </c>
      <c r="M14" s="198" t="s">
        <v>1522</v>
      </c>
      <c r="N14" s="197" t="s">
        <v>3728</v>
      </c>
      <c r="O14" s="128">
        <v>12.0</v>
      </c>
      <c r="P14" s="128" t="s">
        <v>92</v>
      </c>
    </row>
    <row r="15" ht="37.5" customHeight="1">
      <c r="A15" s="13"/>
      <c r="B15" s="14" t="s">
        <v>2049</v>
      </c>
      <c r="C15" s="128">
        <v>29.0</v>
      </c>
      <c r="D15" s="14" t="s">
        <v>73</v>
      </c>
      <c r="E15" s="14" t="s">
        <v>16</v>
      </c>
      <c r="F15" s="128">
        <v>35.0</v>
      </c>
      <c r="G15" s="14">
        <v>25.0</v>
      </c>
      <c r="H15" s="14" t="s">
        <v>2423</v>
      </c>
      <c r="I15" s="197" t="s">
        <v>3688</v>
      </c>
      <c r="J15" s="197" t="s">
        <v>3689</v>
      </c>
      <c r="K15" s="198" t="s">
        <v>3729</v>
      </c>
      <c r="L15" s="198" t="s">
        <v>3730</v>
      </c>
      <c r="M15" s="198" t="s">
        <v>1059</v>
      </c>
      <c r="N15" s="197" t="s">
        <v>3731</v>
      </c>
      <c r="O15" s="128">
        <v>13.0</v>
      </c>
      <c r="P15" s="14" t="s">
        <v>120</v>
      </c>
    </row>
    <row r="16" ht="37.5" customHeight="1">
      <c r="A16" s="13"/>
      <c r="B16" s="14" t="s">
        <v>1242</v>
      </c>
      <c r="C16" s="128">
        <v>29.0</v>
      </c>
      <c r="D16" s="14" t="s">
        <v>65</v>
      </c>
      <c r="E16" s="14" t="s">
        <v>16</v>
      </c>
      <c r="F16" s="128">
        <v>35.0</v>
      </c>
      <c r="G16" s="14">
        <v>30.0</v>
      </c>
      <c r="H16" s="14" t="s">
        <v>2423</v>
      </c>
      <c r="I16" s="197" t="s">
        <v>3688</v>
      </c>
      <c r="J16" s="197" t="s">
        <v>3689</v>
      </c>
      <c r="K16" s="197" t="s">
        <v>3732</v>
      </c>
      <c r="L16" s="198" t="s">
        <v>3733</v>
      </c>
      <c r="M16" s="198" t="s">
        <v>1530</v>
      </c>
      <c r="N16" s="197" t="s">
        <v>3734</v>
      </c>
      <c r="O16" s="128">
        <v>14.0</v>
      </c>
      <c r="P16" s="128" t="s">
        <v>120</v>
      </c>
    </row>
  </sheetData>
  <autoFilter ref="$A$2:$P$16">
    <sortState ref="A2:P16">
      <sortCondition ref="O2:O16"/>
      <sortCondition ref="B2:B16"/>
    </sortState>
  </autoFilter>
  <mergeCells count="4">
    <mergeCell ref="A1:B1"/>
    <mergeCell ref="C1:H1"/>
    <mergeCell ref="I1:M1"/>
    <mergeCell ref="N1:P1"/>
  </mergeCells>
  <conditionalFormatting sqref="O3:P16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16">
    <cfRule type="cellIs" dxfId="13" priority="2" operator="equal">
      <formula>"Solar"</formula>
    </cfRule>
  </conditionalFormatting>
  <conditionalFormatting sqref="D3:D16">
    <cfRule type="cellIs" dxfId="20" priority="3" operator="equal">
      <formula>"Arc"</formula>
    </cfRule>
  </conditionalFormatting>
  <conditionalFormatting sqref="D3:D16">
    <cfRule type="cellIs" dxfId="21" priority="4" operator="equal">
      <formula>"Stasis"</formula>
    </cfRule>
  </conditionalFormatting>
  <conditionalFormatting sqref="D3:D16">
    <cfRule type="cellIs" dxfId="18" priority="5" operator="equal">
      <formula>"Void"</formula>
    </cfRule>
  </conditionalFormatting>
  <conditionalFormatting sqref="D3:D16">
    <cfRule type="cellIs" dxfId="17" priority="6" operator="equal">
      <formula>"Strand"</formula>
    </cfRule>
  </conditionalFormatting>
  <conditionalFormatting sqref="H3:H16">
    <cfRule type="cellIs" dxfId="17" priority="7" operator="equal">
      <formula>"Yes"</formula>
    </cfRule>
  </conditionalFormatting>
  <conditionalFormatting sqref="H3:H16">
    <cfRule type="cellIs" dxfId="2" priority="8" operator="equal">
      <formula>"No"</formula>
    </cfRule>
  </conditionalFormatting>
  <conditionalFormatting sqref="P3:P16">
    <cfRule type="cellIs" dxfId="5" priority="9" operator="equal">
      <formula>"S"</formula>
    </cfRule>
  </conditionalFormatting>
  <conditionalFormatting sqref="P3:P16">
    <cfRule type="cellIs" dxfId="6" priority="10" operator="equal">
      <formula>"B"</formula>
    </cfRule>
  </conditionalFormatting>
  <conditionalFormatting sqref="P3:P16">
    <cfRule type="cellIs" dxfId="7" priority="11" operator="equal">
      <formula>"D"</formula>
    </cfRule>
  </conditionalFormatting>
  <conditionalFormatting sqref="P3:P16">
    <cfRule type="cellIs" dxfId="8" priority="12" operator="equal">
      <formula>"C"</formula>
    </cfRule>
  </conditionalFormatting>
  <conditionalFormatting sqref="P3:P16">
    <cfRule type="cellIs" dxfId="9" priority="13" operator="equal">
      <formula>"A"</formula>
    </cfRule>
  </conditionalFormatting>
  <conditionalFormatting sqref="F3:F16">
    <cfRule type="colorScale" priority="1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G3:G16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16">
    <cfRule type="expression" dxfId="22" priority="16">
      <formula>$C3=MAX($C$3:$C16)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13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3.0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4" t="s">
        <v>1277</v>
      </c>
      <c r="C3" s="128">
        <v>29.0</v>
      </c>
      <c r="D3" s="14" t="s">
        <v>89</v>
      </c>
      <c r="E3" s="14" t="s">
        <v>14</v>
      </c>
      <c r="F3" s="128">
        <v>54.0</v>
      </c>
      <c r="G3" s="14" t="s">
        <v>2423</v>
      </c>
      <c r="H3" s="197" t="s">
        <v>2730</v>
      </c>
      <c r="I3" s="197" t="s">
        <v>3735</v>
      </c>
      <c r="J3" s="198" t="s">
        <v>3736</v>
      </c>
      <c r="K3" s="198" t="s">
        <v>3737</v>
      </c>
      <c r="L3" s="198" t="s">
        <v>1511</v>
      </c>
      <c r="M3" s="198" t="s">
        <v>3738</v>
      </c>
      <c r="N3" s="128">
        <v>1.0</v>
      </c>
      <c r="O3" s="14" t="s">
        <v>71</v>
      </c>
    </row>
    <row r="4" ht="37.5" customHeight="1">
      <c r="A4" s="13"/>
      <c r="B4" s="14" t="s">
        <v>108</v>
      </c>
      <c r="C4" s="128">
        <v>12.0</v>
      </c>
      <c r="D4" s="14" t="s">
        <v>89</v>
      </c>
      <c r="E4" s="128" t="s">
        <v>2030</v>
      </c>
      <c r="F4" s="128">
        <v>49.0</v>
      </c>
      <c r="G4" s="14" t="s">
        <v>2423</v>
      </c>
      <c r="H4" s="197" t="s">
        <v>2727</v>
      </c>
      <c r="I4" s="197" t="s">
        <v>3739</v>
      </c>
      <c r="J4" s="198" t="s">
        <v>3740</v>
      </c>
      <c r="K4" s="198" t="s">
        <v>3741</v>
      </c>
      <c r="L4" s="198" t="s">
        <v>1519</v>
      </c>
      <c r="M4" s="198" t="s">
        <v>3742</v>
      </c>
      <c r="N4" s="128">
        <v>2.0</v>
      </c>
      <c r="O4" s="14" t="s">
        <v>71</v>
      </c>
    </row>
    <row r="5" ht="37.5" customHeight="1">
      <c r="A5" s="200"/>
      <c r="B5" s="128" t="s">
        <v>697</v>
      </c>
      <c r="C5" s="128">
        <v>29.0</v>
      </c>
      <c r="D5" s="128" t="s">
        <v>94</v>
      </c>
      <c r="E5" s="128" t="s">
        <v>2030</v>
      </c>
      <c r="F5" s="128">
        <v>46.0</v>
      </c>
      <c r="G5" s="14" t="s">
        <v>2423</v>
      </c>
      <c r="H5" s="197" t="s">
        <v>2727</v>
      </c>
      <c r="I5" s="197" t="s">
        <v>3739</v>
      </c>
      <c r="J5" s="197" t="s">
        <v>3743</v>
      </c>
      <c r="K5" s="197" t="s">
        <v>3566</v>
      </c>
      <c r="L5" s="197" t="s">
        <v>714</v>
      </c>
      <c r="M5" s="197" t="s">
        <v>3744</v>
      </c>
      <c r="N5" s="128">
        <v>3.0</v>
      </c>
      <c r="O5" s="14" t="s">
        <v>71</v>
      </c>
    </row>
    <row r="6" ht="37.5" customHeight="1">
      <c r="A6" s="128"/>
      <c r="B6" s="14" t="s">
        <v>133</v>
      </c>
      <c r="C6" s="128">
        <v>29.0</v>
      </c>
      <c r="D6" s="14" t="s">
        <v>65</v>
      </c>
      <c r="E6" s="14" t="s">
        <v>16</v>
      </c>
      <c r="F6" s="128">
        <v>34.0</v>
      </c>
      <c r="G6" s="14" t="s">
        <v>2423</v>
      </c>
      <c r="H6" s="197" t="s">
        <v>2730</v>
      </c>
      <c r="I6" s="197" t="s">
        <v>3739</v>
      </c>
      <c r="J6" s="197" t="s">
        <v>3745</v>
      </c>
      <c r="K6" s="197" t="s">
        <v>3746</v>
      </c>
      <c r="L6" s="197" t="s">
        <v>718</v>
      </c>
      <c r="M6" s="197" t="s">
        <v>3747</v>
      </c>
      <c r="N6" s="128">
        <v>4.0</v>
      </c>
      <c r="O6" s="14" t="s">
        <v>71</v>
      </c>
    </row>
    <row r="7" ht="37.5" customHeight="1">
      <c r="A7" s="13"/>
      <c r="B7" s="14" t="s">
        <v>96</v>
      </c>
      <c r="C7" s="128">
        <v>29.0</v>
      </c>
      <c r="D7" s="14" t="s">
        <v>94</v>
      </c>
      <c r="E7" s="14" t="s">
        <v>14</v>
      </c>
      <c r="F7" s="128">
        <v>50.0</v>
      </c>
      <c r="G7" s="14" t="s">
        <v>2423</v>
      </c>
      <c r="H7" s="197" t="s">
        <v>2730</v>
      </c>
      <c r="I7" s="197" t="s">
        <v>3735</v>
      </c>
      <c r="J7" s="198" t="s">
        <v>3748</v>
      </c>
      <c r="K7" s="198" t="s">
        <v>3749</v>
      </c>
      <c r="L7" s="198" t="s">
        <v>307</v>
      </c>
      <c r="M7" s="198" t="s">
        <v>3750</v>
      </c>
      <c r="N7" s="128">
        <v>5.0</v>
      </c>
      <c r="O7" s="14" t="s">
        <v>71</v>
      </c>
    </row>
    <row r="8" ht="37.5" customHeight="1">
      <c r="A8" s="13"/>
      <c r="B8" s="14" t="s">
        <v>88</v>
      </c>
      <c r="C8" s="128">
        <v>29.0</v>
      </c>
      <c r="D8" s="14" t="s">
        <v>157</v>
      </c>
      <c r="E8" s="14" t="s">
        <v>14</v>
      </c>
      <c r="F8" s="128">
        <v>53.0</v>
      </c>
      <c r="G8" s="14" t="s">
        <v>2423</v>
      </c>
      <c r="H8" s="197" t="s">
        <v>2730</v>
      </c>
      <c r="I8" s="197" t="s">
        <v>3735</v>
      </c>
      <c r="J8" s="198" t="s">
        <v>3751</v>
      </c>
      <c r="K8" s="198" t="s">
        <v>3752</v>
      </c>
      <c r="L8" s="198" t="s">
        <v>2533</v>
      </c>
      <c r="M8" s="198" t="s">
        <v>3753</v>
      </c>
      <c r="N8" s="128">
        <v>6.0</v>
      </c>
      <c r="O8" s="14" t="s">
        <v>71</v>
      </c>
    </row>
    <row r="9" ht="37.5" customHeight="1">
      <c r="A9" s="2"/>
      <c r="B9" s="128" t="s">
        <v>3754</v>
      </c>
      <c r="C9" s="128">
        <v>29.0</v>
      </c>
      <c r="D9" s="14" t="s">
        <v>89</v>
      </c>
      <c r="E9" s="14" t="s">
        <v>14</v>
      </c>
      <c r="F9" s="128">
        <v>52.0</v>
      </c>
      <c r="G9" s="14" t="s">
        <v>2423</v>
      </c>
      <c r="H9" s="197" t="s">
        <v>2730</v>
      </c>
      <c r="I9" s="197" t="s">
        <v>3735</v>
      </c>
      <c r="J9" s="197" t="s">
        <v>3755</v>
      </c>
      <c r="K9" s="197" t="s">
        <v>3756</v>
      </c>
      <c r="L9" s="197" t="s">
        <v>2444</v>
      </c>
      <c r="M9" s="197" t="s">
        <v>3757</v>
      </c>
      <c r="N9" s="128">
        <v>7.0</v>
      </c>
      <c r="O9" s="14" t="s">
        <v>71</v>
      </c>
    </row>
    <row r="10" ht="37.5" customHeight="1">
      <c r="A10" s="13"/>
      <c r="B10" s="14" t="s">
        <v>3758</v>
      </c>
      <c r="C10" s="128">
        <v>29.0</v>
      </c>
      <c r="D10" s="14" t="s">
        <v>73</v>
      </c>
      <c r="E10" s="14" t="s">
        <v>14</v>
      </c>
      <c r="F10" s="128">
        <v>60.0</v>
      </c>
      <c r="G10" s="14" t="s">
        <v>2423</v>
      </c>
      <c r="H10" s="197" t="s">
        <v>2730</v>
      </c>
      <c r="I10" s="197" t="s">
        <v>3735</v>
      </c>
      <c r="J10" s="198" t="s">
        <v>1845</v>
      </c>
      <c r="K10" s="198" t="s">
        <v>1846</v>
      </c>
      <c r="L10" s="198" t="s">
        <v>1524</v>
      </c>
      <c r="M10" s="198" t="s">
        <v>3759</v>
      </c>
      <c r="N10" s="128">
        <v>8.0</v>
      </c>
      <c r="O10" s="14" t="s">
        <v>71</v>
      </c>
    </row>
    <row r="11" ht="37.5" customHeight="1">
      <c r="A11" s="13"/>
      <c r="B11" s="128" t="s">
        <v>521</v>
      </c>
      <c r="C11" s="128">
        <v>27.0</v>
      </c>
      <c r="D11" s="128" t="s">
        <v>65</v>
      </c>
      <c r="E11" s="128" t="s">
        <v>30</v>
      </c>
      <c r="F11" s="128">
        <v>42.0</v>
      </c>
      <c r="G11" s="14" t="s">
        <v>2423</v>
      </c>
      <c r="H11" s="197" t="s">
        <v>2727</v>
      </c>
      <c r="I11" s="197" t="s">
        <v>3760</v>
      </c>
      <c r="J11" s="197" t="s">
        <v>3761</v>
      </c>
      <c r="K11" s="197" t="s">
        <v>3762</v>
      </c>
      <c r="L11" s="197" t="s">
        <v>1079</v>
      </c>
      <c r="M11" s="197" t="s">
        <v>3763</v>
      </c>
      <c r="N11" s="128">
        <v>9.0</v>
      </c>
      <c r="O11" s="128" t="s">
        <v>92</v>
      </c>
    </row>
    <row r="12" ht="37.5" customHeight="1">
      <c r="A12" s="13"/>
      <c r="B12" s="14" t="s">
        <v>82</v>
      </c>
      <c r="C12" s="128">
        <v>29.0</v>
      </c>
      <c r="D12" s="14" t="s">
        <v>83</v>
      </c>
      <c r="E12" s="14" t="s">
        <v>14</v>
      </c>
      <c r="F12" s="128">
        <v>54.0</v>
      </c>
      <c r="G12" s="14" t="s">
        <v>2423</v>
      </c>
      <c r="H12" s="197" t="s">
        <v>2730</v>
      </c>
      <c r="I12" s="197" t="s">
        <v>3735</v>
      </c>
      <c r="J12" s="198" t="s">
        <v>1970</v>
      </c>
      <c r="K12" s="198" t="s">
        <v>3764</v>
      </c>
      <c r="L12" s="198" t="s">
        <v>1084</v>
      </c>
      <c r="M12" s="198" t="s">
        <v>3765</v>
      </c>
      <c r="N12" s="128">
        <v>10.0</v>
      </c>
      <c r="O12" s="128" t="s">
        <v>92</v>
      </c>
    </row>
    <row r="13" ht="37.5" customHeight="1">
      <c r="A13" s="13"/>
      <c r="B13" s="14" t="s">
        <v>173</v>
      </c>
      <c r="C13" s="128">
        <v>29.0</v>
      </c>
      <c r="D13" s="14" t="s">
        <v>89</v>
      </c>
      <c r="E13" s="128" t="s">
        <v>2030</v>
      </c>
      <c r="F13" s="128">
        <v>48.0</v>
      </c>
      <c r="G13" s="14" t="s">
        <v>2423</v>
      </c>
      <c r="H13" s="197" t="s">
        <v>2727</v>
      </c>
      <c r="I13" s="197" t="s">
        <v>3739</v>
      </c>
      <c r="J13" s="198" t="s">
        <v>146</v>
      </c>
      <c r="K13" s="198" t="s">
        <v>3766</v>
      </c>
      <c r="L13" s="198" t="s">
        <v>2533</v>
      </c>
      <c r="M13" s="198" t="s">
        <v>3767</v>
      </c>
      <c r="N13" s="128">
        <v>11.0</v>
      </c>
      <c r="O13" s="14" t="s">
        <v>92</v>
      </c>
    </row>
    <row r="14" ht="37.5" customHeight="1">
      <c r="A14" s="13"/>
      <c r="B14" s="14" t="s">
        <v>3768</v>
      </c>
      <c r="C14" s="128">
        <v>26.0</v>
      </c>
      <c r="D14" s="14" t="s">
        <v>94</v>
      </c>
      <c r="E14" s="14" t="s">
        <v>16</v>
      </c>
      <c r="F14" s="128">
        <v>38.0</v>
      </c>
      <c r="G14" s="14" t="s">
        <v>2423</v>
      </c>
      <c r="H14" s="197" t="s">
        <v>2730</v>
      </c>
      <c r="I14" s="197" t="s">
        <v>3739</v>
      </c>
      <c r="J14" s="197" t="s">
        <v>3769</v>
      </c>
      <c r="K14" s="198" t="s">
        <v>3770</v>
      </c>
      <c r="L14" s="197" t="s">
        <v>683</v>
      </c>
      <c r="M14" s="197" t="s">
        <v>3771</v>
      </c>
      <c r="N14" s="128">
        <v>12.0</v>
      </c>
      <c r="O14" s="128" t="s">
        <v>92</v>
      </c>
    </row>
    <row r="15" ht="37.5" customHeight="1">
      <c r="A15" s="13"/>
      <c r="B15" s="14" t="s">
        <v>104</v>
      </c>
      <c r="C15" s="128">
        <v>29.0</v>
      </c>
      <c r="D15" s="14" t="s">
        <v>89</v>
      </c>
      <c r="E15" s="14" t="s">
        <v>16</v>
      </c>
      <c r="F15" s="128">
        <v>39.0</v>
      </c>
      <c r="G15" s="14" t="s">
        <v>2423</v>
      </c>
      <c r="H15" s="197" t="s">
        <v>2730</v>
      </c>
      <c r="I15" s="197" t="s">
        <v>3739</v>
      </c>
      <c r="J15" s="198" t="s">
        <v>85</v>
      </c>
      <c r="K15" s="198" t="s">
        <v>3772</v>
      </c>
      <c r="L15" s="198" t="s">
        <v>1083</v>
      </c>
      <c r="M15" s="198" t="s">
        <v>3773</v>
      </c>
      <c r="N15" s="128">
        <v>13.0</v>
      </c>
      <c r="O15" s="14" t="s">
        <v>92</v>
      </c>
    </row>
    <row r="16" ht="37.5" customHeight="1">
      <c r="A16" s="200"/>
      <c r="B16" s="128" t="s">
        <v>625</v>
      </c>
      <c r="C16" s="128">
        <v>27.0</v>
      </c>
      <c r="D16" s="128" t="s">
        <v>94</v>
      </c>
      <c r="E16" s="128" t="s">
        <v>30</v>
      </c>
      <c r="F16" s="128">
        <v>40.0</v>
      </c>
      <c r="G16" s="14" t="s">
        <v>2423</v>
      </c>
      <c r="H16" s="197" t="s">
        <v>2727</v>
      </c>
      <c r="I16" s="197" t="s">
        <v>3774</v>
      </c>
      <c r="J16" s="197" t="s">
        <v>1913</v>
      </c>
      <c r="K16" s="197" t="s">
        <v>3775</v>
      </c>
      <c r="L16" s="197" t="s">
        <v>3107</v>
      </c>
      <c r="M16" s="197" t="s">
        <v>3776</v>
      </c>
      <c r="N16" s="128">
        <v>14.0</v>
      </c>
      <c r="O16" s="14" t="s">
        <v>92</v>
      </c>
    </row>
    <row r="17" ht="37.5" customHeight="1">
      <c r="A17" s="200"/>
      <c r="B17" s="128" t="s">
        <v>548</v>
      </c>
      <c r="C17" s="128">
        <v>27.0</v>
      </c>
      <c r="D17" s="14" t="s">
        <v>73</v>
      </c>
      <c r="E17" s="14" t="s">
        <v>24</v>
      </c>
      <c r="F17" s="128">
        <v>29.0</v>
      </c>
      <c r="G17" s="14" t="s">
        <v>2423</v>
      </c>
      <c r="H17" s="197" t="s">
        <v>2730</v>
      </c>
      <c r="I17" s="197" t="s">
        <v>3739</v>
      </c>
      <c r="J17" s="197" t="s">
        <v>3777</v>
      </c>
      <c r="K17" s="197" t="s">
        <v>3778</v>
      </c>
      <c r="L17" s="197" t="s">
        <v>2448</v>
      </c>
      <c r="M17" s="197" t="s">
        <v>3779</v>
      </c>
      <c r="N17" s="128">
        <v>15.0</v>
      </c>
      <c r="O17" s="128" t="s">
        <v>120</v>
      </c>
    </row>
    <row r="18" ht="37.5" customHeight="1">
      <c r="A18" s="13"/>
      <c r="B18" s="14" t="s">
        <v>149</v>
      </c>
      <c r="C18" s="128">
        <v>29.0</v>
      </c>
      <c r="D18" s="14" t="s">
        <v>83</v>
      </c>
      <c r="E18" s="14" t="s">
        <v>24</v>
      </c>
      <c r="F18" s="128">
        <v>25.0</v>
      </c>
      <c r="G18" s="14" t="s">
        <v>2423</v>
      </c>
      <c r="H18" s="197" t="s">
        <v>2730</v>
      </c>
      <c r="I18" s="197" t="s">
        <v>3739</v>
      </c>
      <c r="J18" s="198" t="s">
        <v>3780</v>
      </c>
      <c r="K18" s="198" t="s">
        <v>3781</v>
      </c>
      <c r="L18" s="198" t="s">
        <v>1503</v>
      </c>
      <c r="M18" s="198" t="s">
        <v>3782</v>
      </c>
      <c r="N18" s="128">
        <v>16.0</v>
      </c>
      <c r="O18" s="128" t="s">
        <v>120</v>
      </c>
    </row>
    <row r="19" ht="37.5" customHeight="1">
      <c r="A19" s="13"/>
      <c r="B19" s="14" t="s">
        <v>78</v>
      </c>
      <c r="C19" s="128">
        <v>29.0</v>
      </c>
      <c r="D19" s="14" t="s">
        <v>65</v>
      </c>
      <c r="E19" s="14" t="s">
        <v>24</v>
      </c>
      <c r="F19" s="128">
        <v>23.0</v>
      </c>
      <c r="G19" s="14" t="s">
        <v>2423</v>
      </c>
      <c r="H19" s="197" t="s">
        <v>2730</v>
      </c>
      <c r="I19" s="197" t="s">
        <v>3739</v>
      </c>
      <c r="J19" s="198" t="s">
        <v>3783</v>
      </c>
      <c r="K19" s="198" t="s">
        <v>3784</v>
      </c>
      <c r="L19" s="198" t="s">
        <v>2543</v>
      </c>
      <c r="M19" s="198" t="s">
        <v>3785</v>
      </c>
      <c r="N19" s="128">
        <v>17.0</v>
      </c>
      <c r="O19" s="14" t="s">
        <v>120</v>
      </c>
    </row>
    <row r="20" ht="37.5" customHeight="1">
      <c r="A20" s="13"/>
      <c r="B20" s="14" t="s">
        <v>124</v>
      </c>
      <c r="C20" s="128">
        <v>29.0</v>
      </c>
      <c r="D20" s="14" t="s">
        <v>94</v>
      </c>
      <c r="E20" s="14" t="s">
        <v>16</v>
      </c>
      <c r="F20" s="128">
        <v>38.0</v>
      </c>
      <c r="G20" s="14" t="s">
        <v>2423</v>
      </c>
      <c r="H20" s="197" t="s">
        <v>2730</v>
      </c>
      <c r="I20" s="197" t="s">
        <v>3739</v>
      </c>
      <c r="J20" s="197" t="s">
        <v>3786</v>
      </c>
      <c r="K20" s="197" t="s">
        <v>3787</v>
      </c>
      <c r="L20" s="197" t="s">
        <v>1065</v>
      </c>
      <c r="M20" s="197" t="s">
        <v>3788</v>
      </c>
      <c r="N20" s="128">
        <v>18.0</v>
      </c>
      <c r="O20" s="128" t="s">
        <v>120</v>
      </c>
    </row>
    <row r="21" ht="37.5" customHeight="1">
      <c r="A21" s="13"/>
      <c r="B21" s="14" t="s">
        <v>117</v>
      </c>
      <c r="C21" s="128">
        <v>29.0</v>
      </c>
      <c r="D21" s="14" t="s">
        <v>73</v>
      </c>
      <c r="E21" s="14" t="s">
        <v>24</v>
      </c>
      <c r="F21" s="128">
        <v>27.0</v>
      </c>
      <c r="G21" s="14" t="s">
        <v>2423</v>
      </c>
      <c r="H21" s="197" t="s">
        <v>2730</v>
      </c>
      <c r="I21" s="197" t="s">
        <v>3739</v>
      </c>
      <c r="J21" s="198" t="s">
        <v>3789</v>
      </c>
      <c r="K21" s="198" t="s">
        <v>3790</v>
      </c>
      <c r="L21" s="198" t="s">
        <v>2508</v>
      </c>
      <c r="M21" s="198" t="s">
        <v>3791</v>
      </c>
      <c r="N21" s="128">
        <v>19.0</v>
      </c>
      <c r="O21" s="128" t="s">
        <v>120</v>
      </c>
    </row>
    <row r="22" ht="37.5" customHeight="1">
      <c r="A22" s="13"/>
      <c r="B22" s="14" t="s">
        <v>868</v>
      </c>
      <c r="C22" s="128">
        <v>29.0</v>
      </c>
      <c r="D22" s="14" t="s">
        <v>89</v>
      </c>
      <c r="E22" s="14" t="s">
        <v>17</v>
      </c>
      <c r="F22" s="128">
        <v>37.0</v>
      </c>
      <c r="G22" s="14" t="s">
        <v>2423</v>
      </c>
      <c r="H22" s="197" t="s">
        <v>2730</v>
      </c>
      <c r="I22" s="197" t="s">
        <v>3739</v>
      </c>
      <c r="J22" s="198" t="s">
        <v>3792</v>
      </c>
      <c r="K22" s="198" t="s">
        <v>3793</v>
      </c>
      <c r="L22" s="198" t="s">
        <v>1539</v>
      </c>
      <c r="M22" s="198" t="s">
        <v>3794</v>
      </c>
      <c r="N22" s="128">
        <v>20.0</v>
      </c>
      <c r="O22" s="128" t="s">
        <v>120</v>
      </c>
    </row>
    <row r="23" ht="37.5" customHeight="1">
      <c r="A23" s="13"/>
      <c r="B23" s="14" t="s">
        <v>130</v>
      </c>
      <c r="C23" s="128">
        <v>29.0</v>
      </c>
      <c r="D23" s="14" t="s">
        <v>89</v>
      </c>
      <c r="E23" s="14" t="s">
        <v>24</v>
      </c>
      <c r="F23" s="128">
        <v>26.0</v>
      </c>
      <c r="G23" s="14" t="s">
        <v>2423</v>
      </c>
      <c r="H23" s="197" t="s">
        <v>2730</v>
      </c>
      <c r="I23" s="197" t="s">
        <v>3739</v>
      </c>
      <c r="J23" s="198" t="s">
        <v>3795</v>
      </c>
      <c r="K23" s="198" t="s">
        <v>3796</v>
      </c>
      <c r="L23" s="198" t="s">
        <v>1514</v>
      </c>
      <c r="M23" s="198" t="s">
        <v>3797</v>
      </c>
      <c r="N23" s="128">
        <v>21.0</v>
      </c>
      <c r="O23" s="128" t="s">
        <v>120</v>
      </c>
    </row>
    <row r="24" ht="37.5" customHeight="1">
      <c r="A24" s="13"/>
      <c r="B24" s="14" t="s">
        <v>163</v>
      </c>
      <c r="C24" s="128">
        <v>29.0</v>
      </c>
      <c r="D24" s="14" t="s">
        <v>94</v>
      </c>
      <c r="E24" s="14" t="s">
        <v>17</v>
      </c>
      <c r="F24" s="128">
        <v>38.0</v>
      </c>
      <c r="G24" s="14" t="s">
        <v>2423</v>
      </c>
      <c r="H24" s="197" t="s">
        <v>2730</v>
      </c>
      <c r="I24" s="197" t="s">
        <v>3739</v>
      </c>
      <c r="J24" s="198" t="s">
        <v>3798</v>
      </c>
      <c r="K24" s="198" t="s">
        <v>3799</v>
      </c>
      <c r="L24" s="198" t="s">
        <v>422</v>
      </c>
      <c r="M24" s="198" t="s">
        <v>3800</v>
      </c>
      <c r="N24" s="128">
        <v>22.0</v>
      </c>
      <c r="O24" s="128" t="s">
        <v>120</v>
      </c>
    </row>
    <row r="25" ht="37.5" customHeight="1">
      <c r="A25" s="2" t="s">
        <v>412</v>
      </c>
      <c r="B25" s="128" t="s">
        <v>3801</v>
      </c>
      <c r="C25" s="128">
        <v>29.0</v>
      </c>
      <c r="D25" s="128" t="s">
        <v>94</v>
      </c>
      <c r="E25" s="128" t="s">
        <v>16</v>
      </c>
      <c r="F25" s="128">
        <v>37.0</v>
      </c>
      <c r="G25" s="14" t="s">
        <v>2423</v>
      </c>
      <c r="H25" s="197" t="s">
        <v>2730</v>
      </c>
      <c r="I25" s="197" t="s">
        <v>3739</v>
      </c>
      <c r="J25" s="197" t="s">
        <v>3802</v>
      </c>
      <c r="K25" s="197" t="s">
        <v>3803</v>
      </c>
      <c r="L25" s="197" t="s">
        <v>425</v>
      </c>
      <c r="M25" s="197" t="s">
        <v>3804</v>
      </c>
      <c r="N25" s="128">
        <v>23.0</v>
      </c>
      <c r="O25" s="128" t="s">
        <v>120</v>
      </c>
    </row>
    <row r="26" ht="37.5" customHeight="1">
      <c r="A26" s="13"/>
      <c r="B26" s="14" t="s">
        <v>93</v>
      </c>
      <c r="C26" s="128">
        <v>29.0</v>
      </c>
      <c r="D26" s="14" t="s">
        <v>65</v>
      </c>
      <c r="E26" s="14" t="s">
        <v>14</v>
      </c>
      <c r="F26" s="128">
        <v>51.0</v>
      </c>
      <c r="G26" s="14" t="s">
        <v>2423</v>
      </c>
      <c r="H26" s="197" t="s">
        <v>2730</v>
      </c>
      <c r="I26" s="197" t="s">
        <v>3735</v>
      </c>
      <c r="J26" s="198" t="s">
        <v>3805</v>
      </c>
      <c r="K26" s="198" t="s">
        <v>3806</v>
      </c>
      <c r="L26" s="198" t="s">
        <v>2516</v>
      </c>
      <c r="M26" s="198" t="s">
        <v>3807</v>
      </c>
      <c r="N26" s="128">
        <v>24.0</v>
      </c>
      <c r="O26" s="128" t="s">
        <v>120</v>
      </c>
    </row>
    <row r="27" ht="37.5" customHeight="1">
      <c r="A27" s="13"/>
      <c r="B27" s="14" t="s">
        <v>64</v>
      </c>
      <c r="C27" s="128">
        <v>17.0</v>
      </c>
      <c r="D27" s="14" t="s">
        <v>65</v>
      </c>
      <c r="E27" s="14" t="s">
        <v>14</v>
      </c>
      <c r="F27" s="128">
        <v>49.0</v>
      </c>
      <c r="G27" s="14" t="s">
        <v>2597</v>
      </c>
      <c r="H27" s="197" t="s">
        <v>2730</v>
      </c>
      <c r="I27" s="197" t="s">
        <v>3735</v>
      </c>
      <c r="J27" s="198" t="s">
        <v>3783</v>
      </c>
      <c r="K27" s="198" t="s">
        <v>3808</v>
      </c>
      <c r="L27" s="198" t="s">
        <v>2628</v>
      </c>
      <c r="M27" s="198" t="s">
        <v>3809</v>
      </c>
      <c r="N27" s="128">
        <v>25.0</v>
      </c>
      <c r="O27" s="128" t="s">
        <v>120</v>
      </c>
    </row>
    <row r="28" ht="37.5" customHeight="1">
      <c r="A28" s="13"/>
      <c r="B28" s="14" t="s">
        <v>151</v>
      </c>
      <c r="C28" s="128">
        <v>29.0</v>
      </c>
      <c r="D28" s="14" t="s">
        <v>73</v>
      </c>
      <c r="E28" s="14" t="s">
        <v>17</v>
      </c>
      <c r="F28" s="128">
        <v>45.0</v>
      </c>
      <c r="G28" s="14" t="s">
        <v>2423</v>
      </c>
      <c r="H28" s="197" t="s">
        <v>2730</v>
      </c>
      <c r="I28" s="197" t="s">
        <v>3739</v>
      </c>
      <c r="J28" s="198" t="s">
        <v>3810</v>
      </c>
      <c r="K28" s="198" t="s">
        <v>1866</v>
      </c>
      <c r="L28" s="198" t="s">
        <v>1070</v>
      </c>
      <c r="M28" s="197" t="s">
        <v>3811</v>
      </c>
      <c r="N28" s="128">
        <v>26.0</v>
      </c>
      <c r="O28" s="14" t="s">
        <v>120</v>
      </c>
    </row>
    <row r="29" ht="37.5" customHeight="1">
      <c r="A29" s="13"/>
      <c r="B29" s="14" t="s">
        <v>179</v>
      </c>
      <c r="C29" s="128">
        <v>29.0</v>
      </c>
      <c r="D29" s="14" t="s">
        <v>65</v>
      </c>
      <c r="E29" s="14" t="s">
        <v>17</v>
      </c>
      <c r="F29" s="128">
        <v>48.0</v>
      </c>
      <c r="G29" s="14" t="s">
        <v>2423</v>
      </c>
      <c r="H29" s="197" t="s">
        <v>2730</v>
      </c>
      <c r="I29" s="197" t="s">
        <v>3739</v>
      </c>
      <c r="J29" s="197" t="s">
        <v>3812</v>
      </c>
      <c r="K29" s="197" t="s">
        <v>3813</v>
      </c>
      <c r="L29" s="197" t="s">
        <v>1212</v>
      </c>
      <c r="M29" s="197" t="s">
        <v>3811</v>
      </c>
      <c r="N29" s="128">
        <v>27.0</v>
      </c>
      <c r="O29" s="14" t="s">
        <v>120</v>
      </c>
    </row>
    <row r="30" ht="37.5" customHeight="1">
      <c r="A30" s="13"/>
      <c r="B30" s="128" t="s">
        <v>540</v>
      </c>
      <c r="C30" s="128">
        <v>27.0</v>
      </c>
      <c r="D30" s="14" t="s">
        <v>65</v>
      </c>
      <c r="E30" s="128" t="s">
        <v>3354</v>
      </c>
      <c r="F30" s="128">
        <v>44.0</v>
      </c>
      <c r="G30" s="14" t="s">
        <v>2423</v>
      </c>
      <c r="H30" s="197" t="s">
        <v>2730</v>
      </c>
      <c r="I30" s="197" t="s">
        <v>3739</v>
      </c>
      <c r="J30" s="197" t="s">
        <v>3814</v>
      </c>
      <c r="K30" s="197" t="s">
        <v>3752</v>
      </c>
      <c r="L30" s="197" t="s">
        <v>3107</v>
      </c>
      <c r="M30" s="197" t="s">
        <v>3811</v>
      </c>
      <c r="N30" s="128">
        <v>28.0</v>
      </c>
      <c r="O30" s="14" t="s">
        <v>120</v>
      </c>
    </row>
    <row r="31" ht="37.5" customHeight="1">
      <c r="A31" s="13"/>
      <c r="B31" s="128" t="s">
        <v>1220</v>
      </c>
      <c r="C31" s="128">
        <v>29.0</v>
      </c>
      <c r="D31" s="128" t="s">
        <v>157</v>
      </c>
      <c r="E31" s="128" t="s">
        <v>17</v>
      </c>
      <c r="F31" s="128">
        <v>48.0</v>
      </c>
      <c r="G31" s="14" t="s">
        <v>2423</v>
      </c>
      <c r="H31" s="197" t="s">
        <v>2730</v>
      </c>
      <c r="I31" s="197" t="s">
        <v>3739</v>
      </c>
      <c r="J31" s="197" t="s">
        <v>76</v>
      </c>
      <c r="K31" s="197" t="s">
        <v>3815</v>
      </c>
      <c r="L31" s="198" t="s">
        <v>75</v>
      </c>
      <c r="M31" s="198" t="s">
        <v>3816</v>
      </c>
      <c r="N31" s="128">
        <v>29.0</v>
      </c>
      <c r="O31" s="14" t="s">
        <v>120</v>
      </c>
    </row>
    <row r="32" ht="37.5" customHeight="1">
      <c r="A32" s="200"/>
      <c r="B32" s="128" t="s">
        <v>627</v>
      </c>
      <c r="C32" s="128">
        <v>27.0</v>
      </c>
      <c r="D32" s="128" t="s">
        <v>94</v>
      </c>
      <c r="E32" s="14" t="s">
        <v>17</v>
      </c>
      <c r="F32" s="128">
        <v>45.0</v>
      </c>
      <c r="G32" s="14" t="s">
        <v>2423</v>
      </c>
      <c r="H32" s="197" t="s">
        <v>2730</v>
      </c>
      <c r="I32" s="197" t="s">
        <v>3739</v>
      </c>
      <c r="J32" s="197" t="s">
        <v>3817</v>
      </c>
      <c r="K32" s="197" t="s">
        <v>3818</v>
      </c>
      <c r="L32" s="197" t="s">
        <v>2511</v>
      </c>
      <c r="M32" s="197" t="s">
        <v>3819</v>
      </c>
      <c r="N32" s="128">
        <v>30.0</v>
      </c>
      <c r="O32" s="14" t="s">
        <v>120</v>
      </c>
    </row>
    <row r="33" ht="37.5" customHeight="1">
      <c r="A33" s="13"/>
      <c r="B33" s="14" t="s">
        <v>165</v>
      </c>
      <c r="C33" s="128">
        <v>29.0</v>
      </c>
      <c r="D33" s="14" t="s">
        <v>73</v>
      </c>
      <c r="E33" s="14" t="s">
        <v>16</v>
      </c>
      <c r="F33" s="128">
        <v>33.0</v>
      </c>
      <c r="G33" s="14" t="s">
        <v>2423</v>
      </c>
      <c r="H33" s="197" t="s">
        <v>2730</v>
      </c>
      <c r="I33" s="197" t="s">
        <v>3739</v>
      </c>
      <c r="J33" s="198" t="s">
        <v>3820</v>
      </c>
      <c r="K33" s="198" t="s">
        <v>3821</v>
      </c>
      <c r="L33" s="198" t="s">
        <v>425</v>
      </c>
      <c r="M33" s="198" t="s">
        <v>3822</v>
      </c>
      <c r="N33" s="128">
        <v>31.0</v>
      </c>
      <c r="O33" s="14" t="s">
        <v>120</v>
      </c>
    </row>
    <row r="34" ht="37.5" customHeight="1">
      <c r="A34" s="13"/>
      <c r="B34" s="14" t="s">
        <v>132</v>
      </c>
      <c r="C34" s="128">
        <v>29.0</v>
      </c>
      <c r="D34" s="14" t="s">
        <v>73</v>
      </c>
      <c r="E34" s="14" t="s">
        <v>24</v>
      </c>
      <c r="F34" s="128">
        <v>22.0</v>
      </c>
      <c r="G34" s="14" t="s">
        <v>2423</v>
      </c>
      <c r="H34" s="197" t="s">
        <v>2730</v>
      </c>
      <c r="I34" s="197" t="s">
        <v>3739</v>
      </c>
      <c r="J34" s="198" t="s">
        <v>3823</v>
      </c>
      <c r="K34" s="198" t="s">
        <v>3796</v>
      </c>
      <c r="L34" s="198" t="s">
        <v>2645</v>
      </c>
      <c r="M34" s="198" t="s">
        <v>3824</v>
      </c>
      <c r="N34" s="128">
        <v>32.0</v>
      </c>
      <c r="O34" s="14" t="s">
        <v>120</v>
      </c>
    </row>
    <row r="35" ht="37.5" customHeight="1">
      <c r="A35" s="13"/>
      <c r="B35" s="14" t="s">
        <v>3825</v>
      </c>
      <c r="C35" s="128">
        <v>29.0</v>
      </c>
      <c r="D35" s="14" t="s">
        <v>83</v>
      </c>
      <c r="E35" s="128" t="s">
        <v>2030</v>
      </c>
      <c r="F35" s="128">
        <v>46.0</v>
      </c>
      <c r="G35" s="14" t="s">
        <v>2423</v>
      </c>
      <c r="H35" s="197" t="s">
        <v>2727</v>
      </c>
      <c r="I35" s="197" t="s">
        <v>3739</v>
      </c>
      <c r="J35" s="198" t="s">
        <v>3826</v>
      </c>
      <c r="K35" s="198" t="s">
        <v>3827</v>
      </c>
      <c r="L35" s="198" t="s">
        <v>1515</v>
      </c>
      <c r="M35" s="198" t="s">
        <v>3828</v>
      </c>
      <c r="N35" s="128">
        <v>33.0</v>
      </c>
      <c r="O35" s="128" t="s">
        <v>120</v>
      </c>
    </row>
    <row r="36" ht="37.5" customHeight="1">
      <c r="A36" s="13"/>
      <c r="B36" s="14" t="s">
        <v>176</v>
      </c>
      <c r="C36" s="128">
        <v>29.0</v>
      </c>
      <c r="D36" s="14" t="s">
        <v>157</v>
      </c>
      <c r="E36" s="14" t="s">
        <v>17</v>
      </c>
      <c r="F36" s="128">
        <v>45.0</v>
      </c>
      <c r="G36" s="128" t="s">
        <v>2423</v>
      </c>
      <c r="H36" s="197" t="s">
        <v>2730</v>
      </c>
      <c r="I36" s="197" t="s">
        <v>3739</v>
      </c>
      <c r="J36" s="198" t="s">
        <v>3792</v>
      </c>
      <c r="K36" s="198" t="s">
        <v>3829</v>
      </c>
      <c r="L36" s="198" t="s">
        <v>2524</v>
      </c>
      <c r="M36" s="198" t="s">
        <v>3830</v>
      </c>
      <c r="N36" s="128">
        <v>34.0</v>
      </c>
      <c r="O36" s="14" t="s">
        <v>120</v>
      </c>
    </row>
    <row r="37" ht="37.5" customHeight="1">
      <c r="A37" s="13"/>
      <c r="B37" s="14" t="s">
        <v>145</v>
      </c>
      <c r="C37" s="128">
        <v>29.0</v>
      </c>
      <c r="D37" s="14" t="s">
        <v>94</v>
      </c>
      <c r="E37" s="128" t="s">
        <v>2030</v>
      </c>
      <c r="F37" s="128">
        <v>49.0</v>
      </c>
      <c r="G37" s="14" t="s">
        <v>2423</v>
      </c>
      <c r="H37" s="197" t="s">
        <v>2727</v>
      </c>
      <c r="I37" s="197" t="s">
        <v>3739</v>
      </c>
      <c r="J37" s="198" t="s">
        <v>3831</v>
      </c>
      <c r="K37" s="198" t="s">
        <v>3832</v>
      </c>
      <c r="L37" s="198" t="s">
        <v>1529</v>
      </c>
      <c r="M37" s="198" t="s">
        <v>3833</v>
      </c>
      <c r="N37" s="128">
        <v>35.0</v>
      </c>
      <c r="O37" s="14" t="s">
        <v>120</v>
      </c>
    </row>
    <row r="38" ht="37.5" customHeight="1">
      <c r="A38" s="13"/>
      <c r="B38" s="14" t="s">
        <v>99</v>
      </c>
      <c r="C38" s="128">
        <v>29.0</v>
      </c>
      <c r="D38" s="14" t="s">
        <v>89</v>
      </c>
      <c r="E38" s="128" t="s">
        <v>2030</v>
      </c>
      <c r="F38" s="128">
        <v>45.0</v>
      </c>
      <c r="G38" s="14" t="s">
        <v>2423</v>
      </c>
      <c r="H38" s="197" t="s">
        <v>2727</v>
      </c>
      <c r="I38" s="197" t="s">
        <v>3739</v>
      </c>
      <c r="J38" s="198" t="s">
        <v>3834</v>
      </c>
      <c r="K38" s="198" t="s">
        <v>3835</v>
      </c>
      <c r="L38" s="198" t="s">
        <v>2543</v>
      </c>
      <c r="M38" s="198" t="s">
        <v>3836</v>
      </c>
      <c r="N38" s="128">
        <v>36.0</v>
      </c>
      <c r="O38" s="14" t="s">
        <v>120</v>
      </c>
    </row>
    <row r="39" ht="37.5" customHeight="1">
      <c r="A39" s="13"/>
      <c r="B39" s="128" t="s">
        <v>629</v>
      </c>
      <c r="C39" s="128">
        <v>27.0</v>
      </c>
      <c r="D39" s="128" t="s">
        <v>157</v>
      </c>
      <c r="E39" s="128" t="s">
        <v>3837</v>
      </c>
      <c r="F39" s="128">
        <v>50.0</v>
      </c>
      <c r="G39" s="14" t="s">
        <v>2423</v>
      </c>
      <c r="H39" s="197" t="s">
        <v>2727</v>
      </c>
      <c r="I39" s="197" t="s">
        <v>3739</v>
      </c>
      <c r="J39" s="197" t="s">
        <v>3838</v>
      </c>
      <c r="K39" s="197" t="s">
        <v>3839</v>
      </c>
      <c r="L39" s="197" t="s">
        <v>2692</v>
      </c>
      <c r="M39" s="197" t="s">
        <v>3840</v>
      </c>
      <c r="N39" s="128">
        <v>37.0</v>
      </c>
      <c r="O39" s="128" t="s">
        <v>136</v>
      </c>
    </row>
    <row r="40" ht="37.5" customHeight="1">
      <c r="A40" s="128"/>
      <c r="B40" s="128" t="s">
        <v>461</v>
      </c>
      <c r="C40" s="128">
        <v>28.0</v>
      </c>
      <c r="D40" s="128" t="s">
        <v>157</v>
      </c>
      <c r="E40" s="128" t="s">
        <v>24</v>
      </c>
      <c r="F40" s="128">
        <v>10.0</v>
      </c>
      <c r="G40" s="128" t="s">
        <v>2423</v>
      </c>
      <c r="H40" s="197" t="s">
        <v>2730</v>
      </c>
      <c r="I40" s="197" t="s">
        <v>3739</v>
      </c>
      <c r="J40" s="197" t="s">
        <v>3751</v>
      </c>
      <c r="K40" s="197" t="s">
        <v>315</v>
      </c>
      <c r="L40" s="197" t="s">
        <v>2628</v>
      </c>
      <c r="M40" s="197" t="s">
        <v>3841</v>
      </c>
      <c r="N40" s="128">
        <v>38.0</v>
      </c>
      <c r="O40" s="128" t="s">
        <v>136</v>
      </c>
    </row>
    <row r="41" ht="37.5" customHeight="1">
      <c r="A41" s="14" t="s">
        <v>412</v>
      </c>
      <c r="B41" s="14" t="s">
        <v>144</v>
      </c>
      <c r="C41" s="128">
        <v>29.0</v>
      </c>
      <c r="D41" s="14" t="s">
        <v>73</v>
      </c>
      <c r="E41" s="128" t="s">
        <v>3842</v>
      </c>
      <c r="F41" s="128">
        <v>34.0</v>
      </c>
      <c r="G41" s="14" t="s">
        <v>2423</v>
      </c>
      <c r="H41" s="197" t="s">
        <v>2730</v>
      </c>
      <c r="I41" s="197" t="s">
        <v>3739</v>
      </c>
      <c r="J41" s="198" t="s">
        <v>3843</v>
      </c>
      <c r="K41" s="198" t="s">
        <v>3844</v>
      </c>
      <c r="L41" s="198" t="s">
        <v>895</v>
      </c>
      <c r="M41" s="198" t="s">
        <v>3845</v>
      </c>
      <c r="N41" s="128">
        <v>39.0</v>
      </c>
      <c r="O41" s="128" t="s">
        <v>136</v>
      </c>
    </row>
    <row r="42" ht="37.5" customHeight="1">
      <c r="A42" s="13"/>
      <c r="B42" s="14" t="s">
        <v>169</v>
      </c>
      <c r="C42" s="128">
        <v>29.0</v>
      </c>
      <c r="D42" s="14" t="s">
        <v>94</v>
      </c>
      <c r="E42" s="128" t="s">
        <v>2030</v>
      </c>
      <c r="F42" s="128">
        <v>40.0</v>
      </c>
      <c r="G42" s="14" t="s">
        <v>2423</v>
      </c>
      <c r="H42" s="197" t="s">
        <v>2727</v>
      </c>
      <c r="I42" s="197" t="s">
        <v>3739</v>
      </c>
      <c r="J42" s="198" t="s">
        <v>3846</v>
      </c>
      <c r="K42" s="198" t="s">
        <v>3847</v>
      </c>
      <c r="L42" s="198" t="s">
        <v>2462</v>
      </c>
      <c r="M42" s="198" t="s">
        <v>3848</v>
      </c>
      <c r="N42" s="128">
        <v>40.0</v>
      </c>
      <c r="O42" s="128" t="s">
        <v>136</v>
      </c>
    </row>
    <row r="43" ht="37.5" customHeight="1">
      <c r="A43" s="13"/>
      <c r="B43" s="14" t="s">
        <v>121</v>
      </c>
      <c r="C43" s="128">
        <v>25.0</v>
      </c>
      <c r="D43" s="14" t="s">
        <v>73</v>
      </c>
      <c r="E43" s="128" t="s">
        <v>2030</v>
      </c>
      <c r="F43" s="128">
        <v>43.0</v>
      </c>
      <c r="G43" s="14" t="s">
        <v>2423</v>
      </c>
      <c r="H43" s="197" t="s">
        <v>2727</v>
      </c>
      <c r="I43" s="197" t="s">
        <v>3739</v>
      </c>
      <c r="J43" s="198" t="s">
        <v>3849</v>
      </c>
      <c r="K43" s="197" t="s">
        <v>2842</v>
      </c>
      <c r="L43" s="197" t="s">
        <v>1214</v>
      </c>
      <c r="M43" s="197" t="s">
        <v>3850</v>
      </c>
      <c r="N43" s="128">
        <v>41.0</v>
      </c>
      <c r="O43" s="128" t="s">
        <v>136</v>
      </c>
    </row>
    <row r="44" ht="37.5" customHeight="1">
      <c r="A44" s="13"/>
      <c r="B44" s="14" t="s">
        <v>171</v>
      </c>
      <c r="C44" s="128">
        <v>29.0</v>
      </c>
      <c r="D44" s="14" t="s">
        <v>94</v>
      </c>
      <c r="E44" s="14" t="s">
        <v>24</v>
      </c>
      <c r="F44" s="128">
        <v>20.0</v>
      </c>
      <c r="G44" s="14" t="s">
        <v>2423</v>
      </c>
      <c r="H44" s="197" t="s">
        <v>2730</v>
      </c>
      <c r="I44" s="197" t="s">
        <v>3739</v>
      </c>
      <c r="J44" s="198" t="s">
        <v>3851</v>
      </c>
      <c r="K44" s="198" t="s">
        <v>3852</v>
      </c>
      <c r="L44" s="198" t="s">
        <v>3107</v>
      </c>
      <c r="M44" s="198" t="s">
        <v>3853</v>
      </c>
      <c r="N44" s="128">
        <v>42.0</v>
      </c>
      <c r="O44" s="14" t="s">
        <v>136</v>
      </c>
    </row>
    <row r="45" ht="37.5" customHeight="1">
      <c r="A45" s="13"/>
      <c r="B45" s="14" t="s">
        <v>1279</v>
      </c>
      <c r="C45" s="128">
        <v>29.0</v>
      </c>
      <c r="D45" s="14" t="s">
        <v>65</v>
      </c>
      <c r="E45" s="14" t="s">
        <v>24</v>
      </c>
      <c r="F45" s="128">
        <v>19.0</v>
      </c>
      <c r="G45" s="14" t="s">
        <v>2423</v>
      </c>
      <c r="H45" s="197" t="s">
        <v>2730</v>
      </c>
      <c r="I45" s="197" t="s">
        <v>3739</v>
      </c>
      <c r="J45" s="198" t="s">
        <v>3854</v>
      </c>
      <c r="K45" s="198" t="s">
        <v>3855</v>
      </c>
      <c r="L45" s="198" t="s">
        <v>1087</v>
      </c>
      <c r="M45" s="198" t="s">
        <v>3856</v>
      </c>
      <c r="N45" s="128">
        <v>43.0</v>
      </c>
      <c r="O45" s="14" t="s">
        <v>136</v>
      </c>
    </row>
    <row r="46" ht="37.5" customHeight="1">
      <c r="A46" s="13"/>
      <c r="B46" s="14" t="s">
        <v>142</v>
      </c>
      <c r="C46" s="128">
        <v>22.0</v>
      </c>
      <c r="D46" s="14" t="s">
        <v>65</v>
      </c>
      <c r="E46" s="14" t="s">
        <v>16</v>
      </c>
      <c r="F46" s="128">
        <v>28.0</v>
      </c>
      <c r="G46" s="14" t="s">
        <v>2597</v>
      </c>
      <c r="H46" s="197" t="s">
        <v>2730</v>
      </c>
      <c r="I46" s="197" t="s">
        <v>3739</v>
      </c>
      <c r="J46" s="198" t="s">
        <v>3857</v>
      </c>
      <c r="K46" s="198" t="s">
        <v>3858</v>
      </c>
      <c r="L46" s="198" t="s">
        <v>1509</v>
      </c>
      <c r="M46" s="198" t="s">
        <v>3859</v>
      </c>
      <c r="N46" s="128">
        <v>44.0</v>
      </c>
      <c r="O46" s="14" t="s">
        <v>136</v>
      </c>
    </row>
    <row r="47" ht="37.5" customHeight="1">
      <c r="A47" s="13"/>
      <c r="B47" s="128" t="s">
        <v>1222</v>
      </c>
      <c r="C47" s="128">
        <v>25.0</v>
      </c>
      <c r="D47" s="14" t="s">
        <v>73</v>
      </c>
      <c r="E47" s="128" t="s">
        <v>2030</v>
      </c>
      <c r="F47" s="128">
        <v>38.0</v>
      </c>
      <c r="G47" s="14" t="s">
        <v>2423</v>
      </c>
      <c r="H47" s="197" t="s">
        <v>2727</v>
      </c>
      <c r="I47" s="197" t="s">
        <v>3739</v>
      </c>
      <c r="J47" s="197" t="s">
        <v>3860</v>
      </c>
      <c r="K47" s="197" t="s">
        <v>3861</v>
      </c>
      <c r="L47" s="197" t="s">
        <v>2624</v>
      </c>
      <c r="M47" s="197" t="s">
        <v>3862</v>
      </c>
      <c r="N47" s="128">
        <v>45.0</v>
      </c>
      <c r="O47" s="128" t="s">
        <v>136</v>
      </c>
    </row>
    <row r="48" ht="37.5" customHeight="1">
      <c r="A48" s="13"/>
      <c r="B48" s="14" t="s">
        <v>114</v>
      </c>
      <c r="C48" s="128">
        <v>15.0</v>
      </c>
      <c r="D48" s="14" t="s">
        <v>94</v>
      </c>
      <c r="E48" s="14" t="s">
        <v>16</v>
      </c>
      <c r="F48" s="128">
        <v>40.0</v>
      </c>
      <c r="G48" s="14" t="s">
        <v>2597</v>
      </c>
      <c r="H48" s="197" t="s">
        <v>2730</v>
      </c>
      <c r="I48" s="197" t="s">
        <v>3739</v>
      </c>
      <c r="J48" s="198" t="s">
        <v>3863</v>
      </c>
      <c r="K48" s="198" t="s">
        <v>3864</v>
      </c>
      <c r="L48" s="198" t="s">
        <v>3570</v>
      </c>
      <c r="M48" s="198" t="s">
        <v>3859</v>
      </c>
      <c r="N48" s="128">
        <v>46.0</v>
      </c>
      <c r="O48" s="14" t="s">
        <v>136</v>
      </c>
    </row>
    <row r="49" ht="37.5" customHeight="1">
      <c r="A49" s="13"/>
      <c r="B49" s="14" t="s">
        <v>137</v>
      </c>
      <c r="C49" s="128">
        <v>20.0</v>
      </c>
      <c r="D49" s="14" t="s">
        <v>65</v>
      </c>
      <c r="E49" s="14" t="s">
        <v>16</v>
      </c>
      <c r="F49" s="128">
        <v>32.0</v>
      </c>
      <c r="G49" s="14" t="s">
        <v>2597</v>
      </c>
      <c r="H49" s="197" t="s">
        <v>2730</v>
      </c>
      <c r="I49" s="197" t="s">
        <v>3739</v>
      </c>
      <c r="J49" s="198" t="s">
        <v>112</v>
      </c>
      <c r="K49" s="198" t="s">
        <v>3865</v>
      </c>
      <c r="L49" s="198" t="s">
        <v>2628</v>
      </c>
      <c r="M49" s="198" t="s">
        <v>3859</v>
      </c>
      <c r="N49" s="128">
        <v>47.0</v>
      </c>
      <c r="O49" s="14" t="s">
        <v>136</v>
      </c>
    </row>
    <row r="50" ht="37.5" customHeight="1">
      <c r="A50" s="13"/>
      <c r="B50" s="14" t="s">
        <v>111</v>
      </c>
      <c r="C50" s="128">
        <v>29.0</v>
      </c>
      <c r="D50" s="14" t="s">
        <v>89</v>
      </c>
      <c r="E50" s="14" t="s">
        <v>16</v>
      </c>
      <c r="F50" s="128">
        <v>37.0</v>
      </c>
      <c r="G50" s="14" t="s">
        <v>2423</v>
      </c>
      <c r="H50" s="197" t="s">
        <v>2730</v>
      </c>
      <c r="I50" s="197" t="s">
        <v>3739</v>
      </c>
      <c r="J50" s="198" t="s">
        <v>85</v>
      </c>
      <c r="K50" s="198" t="s">
        <v>3866</v>
      </c>
      <c r="L50" s="198" t="s">
        <v>1527</v>
      </c>
      <c r="M50" s="198" t="s">
        <v>3867</v>
      </c>
      <c r="N50" s="128">
        <v>48.0</v>
      </c>
      <c r="O50" s="14" t="s">
        <v>136</v>
      </c>
    </row>
    <row r="51" ht="37.5" customHeight="1">
      <c r="A51" s="13"/>
      <c r="B51" s="14" t="s">
        <v>129</v>
      </c>
      <c r="C51" s="128">
        <v>29.0</v>
      </c>
      <c r="D51" s="14" t="s">
        <v>73</v>
      </c>
      <c r="E51" s="14" t="s">
        <v>16</v>
      </c>
      <c r="F51" s="128">
        <v>40.0</v>
      </c>
      <c r="G51" s="14" t="s">
        <v>2423</v>
      </c>
      <c r="H51" s="197" t="s">
        <v>2730</v>
      </c>
      <c r="I51" s="197" t="s">
        <v>3739</v>
      </c>
      <c r="J51" s="198" t="s">
        <v>74</v>
      </c>
      <c r="K51" s="198" t="s">
        <v>3868</v>
      </c>
      <c r="L51" s="198" t="s">
        <v>2836</v>
      </c>
      <c r="M51" s="198" t="s">
        <v>3869</v>
      </c>
      <c r="N51" s="128">
        <v>49.0</v>
      </c>
      <c r="O51" s="14" t="s">
        <v>136</v>
      </c>
    </row>
    <row r="52" ht="37.5" customHeight="1">
      <c r="A52" s="13"/>
      <c r="B52" s="14" t="s">
        <v>175</v>
      </c>
      <c r="C52" s="128">
        <v>29.0</v>
      </c>
      <c r="D52" s="14" t="s">
        <v>89</v>
      </c>
      <c r="E52" s="14" t="s">
        <v>24</v>
      </c>
      <c r="F52" s="128">
        <v>26.0</v>
      </c>
      <c r="G52" s="14" t="s">
        <v>2423</v>
      </c>
      <c r="H52" s="197" t="s">
        <v>2727</v>
      </c>
      <c r="I52" s="197" t="s">
        <v>3739</v>
      </c>
      <c r="J52" s="198" t="s">
        <v>76</v>
      </c>
      <c r="K52" s="198" t="s">
        <v>3870</v>
      </c>
      <c r="L52" s="198" t="s">
        <v>2543</v>
      </c>
      <c r="M52" s="198" t="s">
        <v>3871</v>
      </c>
      <c r="N52" s="128">
        <v>50.0</v>
      </c>
      <c r="O52" s="14" t="s">
        <v>136</v>
      </c>
    </row>
    <row r="53" ht="37.5" customHeight="1">
      <c r="A53" s="13"/>
      <c r="B53" s="14" t="s">
        <v>178</v>
      </c>
      <c r="C53" s="128">
        <v>29.0</v>
      </c>
      <c r="D53" s="14" t="s">
        <v>65</v>
      </c>
      <c r="E53" s="14" t="s">
        <v>17</v>
      </c>
      <c r="F53" s="128">
        <v>45.0</v>
      </c>
      <c r="G53" s="14" t="s">
        <v>2423</v>
      </c>
      <c r="H53" s="197" t="s">
        <v>2730</v>
      </c>
      <c r="I53" s="197" t="s">
        <v>3739</v>
      </c>
      <c r="J53" s="198" t="s">
        <v>90</v>
      </c>
      <c r="K53" s="198" t="s">
        <v>166</v>
      </c>
      <c r="L53" s="198" t="s">
        <v>2754</v>
      </c>
      <c r="M53" s="198" t="s">
        <v>3872</v>
      </c>
      <c r="N53" s="128">
        <v>51.0</v>
      </c>
      <c r="O53" s="14" t="s">
        <v>136</v>
      </c>
    </row>
    <row r="54" ht="37.5" customHeight="1">
      <c r="A54" s="13"/>
      <c r="B54" s="14" t="s">
        <v>139</v>
      </c>
      <c r="C54" s="128">
        <v>29.0</v>
      </c>
      <c r="D54" s="14" t="s">
        <v>89</v>
      </c>
      <c r="E54" s="14" t="s">
        <v>24</v>
      </c>
      <c r="F54" s="128">
        <v>25.0</v>
      </c>
      <c r="G54" s="14" t="s">
        <v>2423</v>
      </c>
      <c r="H54" s="197" t="s">
        <v>2730</v>
      </c>
      <c r="I54" s="197" t="s">
        <v>3739</v>
      </c>
      <c r="J54" s="198" t="s">
        <v>3873</v>
      </c>
      <c r="K54" s="198" t="s">
        <v>141</v>
      </c>
      <c r="L54" s="198" t="s">
        <v>895</v>
      </c>
      <c r="M54" s="198" t="s">
        <v>3874</v>
      </c>
      <c r="N54" s="128">
        <v>52.0</v>
      </c>
      <c r="O54" s="14" t="s">
        <v>167</v>
      </c>
    </row>
    <row r="55" ht="37.5" customHeight="1">
      <c r="A55" s="13"/>
      <c r="B55" s="14" t="s">
        <v>154</v>
      </c>
      <c r="C55" s="128">
        <v>11.0</v>
      </c>
      <c r="D55" s="14" t="s">
        <v>65</v>
      </c>
      <c r="E55" s="128" t="s">
        <v>2030</v>
      </c>
      <c r="F55" s="128">
        <v>40.0</v>
      </c>
      <c r="G55" s="14" t="s">
        <v>2597</v>
      </c>
      <c r="H55" s="197" t="s">
        <v>2727</v>
      </c>
      <c r="I55" s="197" t="s">
        <v>3739</v>
      </c>
      <c r="J55" s="198" t="s">
        <v>85</v>
      </c>
      <c r="K55" s="198" t="s">
        <v>3875</v>
      </c>
      <c r="L55" s="198" t="s">
        <v>75</v>
      </c>
      <c r="M55" s="198" t="s">
        <v>3876</v>
      </c>
      <c r="N55" s="128">
        <v>53.0</v>
      </c>
      <c r="O55" s="14" t="s">
        <v>167</v>
      </c>
    </row>
    <row r="56" ht="37.5" customHeight="1">
      <c r="A56" s="13"/>
      <c r="B56" s="128" t="s">
        <v>1224</v>
      </c>
      <c r="C56" s="128">
        <v>25.0</v>
      </c>
      <c r="D56" s="128" t="s">
        <v>94</v>
      </c>
      <c r="E56" s="128" t="s">
        <v>17</v>
      </c>
      <c r="F56" s="128">
        <v>42.0</v>
      </c>
      <c r="G56" s="14" t="s">
        <v>2423</v>
      </c>
      <c r="H56" s="197" t="s">
        <v>2730</v>
      </c>
      <c r="I56" s="197" t="s">
        <v>3739</v>
      </c>
      <c r="J56" s="197" t="s">
        <v>3618</v>
      </c>
      <c r="K56" s="198" t="s">
        <v>3877</v>
      </c>
      <c r="L56" s="197" t="s">
        <v>1067</v>
      </c>
      <c r="M56" s="197" t="s">
        <v>3878</v>
      </c>
      <c r="N56" s="128">
        <v>54.0</v>
      </c>
      <c r="O56" s="14" t="s">
        <v>167</v>
      </c>
    </row>
    <row r="57" ht="37.5" customHeight="1">
      <c r="A57" s="128"/>
      <c r="B57" s="14" t="s">
        <v>127</v>
      </c>
      <c r="C57" s="128">
        <v>28.0</v>
      </c>
      <c r="D57" s="14" t="s">
        <v>89</v>
      </c>
      <c r="E57" s="14" t="s">
        <v>16</v>
      </c>
      <c r="F57" s="128">
        <v>40.0</v>
      </c>
      <c r="G57" s="128" t="s">
        <v>2423</v>
      </c>
      <c r="H57" s="197" t="s">
        <v>2730</v>
      </c>
      <c r="I57" s="197" t="s">
        <v>3739</v>
      </c>
      <c r="J57" s="197" t="s">
        <v>3879</v>
      </c>
      <c r="K57" s="197" t="s">
        <v>3796</v>
      </c>
      <c r="L57" s="197" t="s">
        <v>1087</v>
      </c>
      <c r="M57" s="197" t="s">
        <v>3880</v>
      </c>
      <c r="N57" s="128">
        <v>55.0</v>
      </c>
      <c r="O57" s="14" t="s">
        <v>167</v>
      </c>
    </row>
    <row r="58" ht="37.5" customHeight="1">
      <c r="A58" s="13"/>
      <c r="B58" s="14" t="s">
        <v>161</v>
      </c>
      <c r="C58" s="128">
        <v>29.0</v>
      </c>
      <c r="D58" s="14" t="s">
        <v>73</v>
      </c>
      <c r="E58" s="128" t="s">
        <v>2030</v>
      </c>
      <c r="F58" s="128">
        <v>42.0</v>
      </c>
      <c r="G58" s="14" t="s">
        <v>2423</v>
      </c>
      <c r="H58" s="197" t="s">
        <v>2727</v>
      </c>
      <c r="I58" s="197" t="s">
        <v>3881</v>
      </c>
      <c r="J58" s="198" t="s">
        <v>1548</v>
      </c>
      <c r="K58" s="198" t="s">
        <v>3882</v>
      </c>
      <c r="L58" s="198" t="s">
        <v>2624</v>
      </c>
      <c r="M58" s="198" t="s">
        <v>3883</v>
      </c>
      <c r="N58" s="128">
        <v>56.0</v>
      </c>
      <c r="O58" s="14" t="s">
        <v>423</v>
      </c>
    </row>
    <row r="59" ht="37.5" customHeight="1">
      <c r="A59" s="13"/>
      <c r="B59" s="14" t="s">
        <v>156</v>
      </c>
      <c r="C59" s="128">
        <v>29.0</v>
      </c>
      <c r="D59" s="14" t="s">
        <v>157</v>
      </c>
      <c r="E59" s="128" t="s">
        <v>2030</v>
      </c>
      <c r="F59" s="128">
        <v>41.0</v>
      </c>
      <c r="G59" s="14" t="s">
        <v>2423</v>
      </c>
      <c r="H59" s="197" t="s">
        <v>2727</v>
      </c>
      <c r="I59" s="197" t="s">
        <v>3739</v>
      </c>
      <c r="J59" s="198" t="s">
        <v>158</v>
      </c>
      <c r="K59" s="198" t="s">
        <v>3884</v>
      </c>
      <c r="L59" s="198" t="s">
        <v>3134</v>
      </c>
      <c r="M59" s="198" t="s">
        <v>3885</v>
      </c>
      <c r="N59" s="128">
        <v>57.0</v>
      </c>
      <c r="O59" s="14" t="s">
        <v>423</v>
      </c>
    </row>
    <row r="60" ht="37.5" customHeight="1">
      <c r="A60" s="13"/>
      <c r="B60" s="14" t="s">
        <v>180</v>
      </c>
      <c r="C60" s="128">
        <v>29.0</v>
      </c>
      <c r="D60" s="14" t="s">
        <v>65</v>
      </c>
      <c r="E60" s="128" t="s">
        <v>2030</v>
      </c>
      <c r="F60" s="128">
        <v>52.0</v>
      </c>
      <c r="G60" s="14" t="s">
        <v>2423</v>
      </c>
      <c r="H60" s="197" t="s">
        <v>2727</v>
      </c>
      <c r="I60" s="197" t="s">
        <v>3739</v>
      </c>
      <c r="J60" s="198" t="s">
        <v>76</v>
      </c>
      <c r="K60" s="197" t="s">
        <v>3886</v>
      </c>
      <c r="L60" s="198" t="s">
        <v>3107</v>
      </c>
      <c r="M60" s="198" t="s">
        <v>3887</v>
      </c>
      <c r="N60" s="128">
        <v>58.0</v>
      </c>
      <c r="O60" s="14" t="s">
        <v>423</v>
      </c>
    </row>
    <row r="61" ht="37.5" customHeight="1">
      <c r="A61" s="13"/>
      <c r="B61" s="14" t="s">
        <v>160</v>
      </c>
      <c r="C61" s="128">
        <v>5.0</v>
      </c>
      <c r="D61" s="14" t="s">
        <v>73</v>
      </c>
      <c r="E61" s="14" t="s">
        <v>14</v>
      </c>
      <c r="F61" s="128">
        <v>64.0</v>
      </c>
      <c r="G61" s="14" t="s">
        <v>2597</v>
      </c>
      <c r="H61" s="197" t="s">
        <v>2730</v>
      </c>
      <c r="I61" s="197" t="s">
        <v>3735</v>
      </c>
      <c r="J61" s="198" t="s">
        <v>74</v>
      </c>
      <c r="K61" s="198" t="s">
        <v>85</v>
      </c>
      <c r="L61" s="198" t="s">
        <v>75</v>
      </c>
      <c r="M61" s="198" t="s">
        <v>3888</v>
      </c>
      <c r="N61" s="128">
        <v>59.0</v>
      </c>
      <c r="O61" s="14" t="s">
        <v>447</v>
      </c>
    </row>
    <row r="62" ht="37.5" customHeight="1">
      <c r="A62" s="13"/>
      <c r="B62" s="14" t="s">
        <v>168</v>
      </c>
      <c r="C62" s="128">
        <v>4.0</v>
      </c>
      <c r="D62" s="14" t="s">
        <v>89</v>
      </c>
      <c r="E62" s="14" t="s">
        <v>16</v>
      </c>
      <c r="F62" s="128">
        <v>40.0</v>
      </c>
      <c r="G62" s="14" t="s">
        <v>2597</v>
      </c>
      <c r="H62" s="197" t="s">
        <v>2730</v>
      </c>
      <c r="I62" s="197" t="s">
        <v>3739</v>
      </c>
      <c r="J62" s="198" t="s">
        <v>74</v>
      </c>
      <c r="K62" s="198" t="s">
        <v>85</v>
      </c>
      <c r="L62" s="198" t="s">
        <v>75</v>
      </c>
      <c r="M62" s="198" t="s">
        <v>3889</v>
      </c>
      <c r="N62" s="128">
        <v>60.0</v>
      </c>
      <c r="O62" s="14" t="s">
        <v>447</v>
      </c>
    </row>
  </sheetData>
  <autoFilter ref="$A$2:$O$62">
    <sortState ref="A2:O62">
      <sortCondition ref="N2:N62"/>
      <sortCondition ref="B2:B62"/>
    </sortState>
  </autoFilter>
  <mergeCells count="4">
    <mergeCell ref="A1:B1"/>
    <mergeCell ref="C1:G1"/>
    <mergeCell ref="H1:L1"/>
    <mergeCell ref="M1:O1"/>
  </mergeCells>
  <conditionalFormatting sqref="O3:O62">
    <cfRule type="cellIs" dxfId="3" priority="1" operator="equal">
      <formula>"F"</formula>
    </cfRule>
  </conditionalFormatting>
  <conditionalFormatting sqref="O3:O62">
    <cfRule type="cellIs" dxfId="4" priority="2" operator="equal">
      <formula>"E"</formula>
    </cfRule>
  </conditionalFormatting>
  <conditionalFormatting sqref="N3:O62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62">
    <cfRule type="cellIs" dxfId="13" priority="4" operator="equal">
      <formula>"Solar"</formula>
    </cfRule>
  </conditionalFormatting>
  <conditionalFormatting sqref="D3:D62">
    <cfRule type="cellIs" dxfId="20" priority="5" operator="equal">
      <formula>"Arc"</formula>
    </cfRule>
  </conditionalFormatting>
  <conditionalFormatting sqref="D3:D62">
    <cfRule type="cellIs" dxfId="21" priority="6" operator="equal">
      <formula>"Stasis"</formula>
    </cfRule>
  </conditionalFormatting>
  <conditionalFormatting sqref="D3:D62">
    <cfRule type="cellIs" dxfId="18" priority="7" operator="equal">
      <formula>"Void"</formula>
    </cfRule>
  </conditionalFormatting>
  <conditionalFormatting sqref="D3:D62">
    <cfRule type="cellIs" dxfId="17" priority="8" operator="equal">
      <formula>"Strand"</formula>
    </cfRule>
  </conditionalFormatting>
  <conditionalFormatting sqref="G3:G62">
    <cfRule type="cellIs" dxfId="17" priority="9" operator="equal">
      <formula>"Yes"</formula>
    </cfRule>
  </conditionalFormatting>
  <conditionalFormatting sqref="G3:G62">
    <cfRule type="cellIs" dxfId="2" priority="10" operator="equal">
      <formula>"No"</formula>
    </cfRule>
  </conditionalFormatting>
  <conditionalFormatting sqref="O3:O62">
    <cfRule type="cellIs" dxfId="5" priority="11" operator="equal">
      <formula>"S"</formula>
    </cfRule>
  </conditionalFormatting>
  <conditionalFormatting sqref="O3:O62">
    <cfRule type="cellIs" dxfId="6" priority="12" operator="equal">
      <formula>"B"</formula>
    </cfRule>
  </conditionalFormatting>
  <conditionalFormatting sqref="O3:O62">
    <cfRule type="cellIs" dxfId="7" priority="13" operator="equal">
      <formula>"D"</formula>
    </cfRule>
  </conditionalFormatting>
  <conditionalFormatting sqref="O3:O62">
    <cfRule type="cellIs" dxfId="8" priority="14" operator="equal">
      <formula>"C"</formula>
    </cfRule>
  </conditionalFormatting>
  <conditionalFormatting sqref="O3:O62">
    <cfRule type="cellIs" dxfId="9" priority="15" operator="equal">
      <formula>"A"</formula>
    </cfRule>
  </conditionalFormatting>
  <conditionalFormatting sqref="D3:D62">
    <cfRule type="cellIs" dxfId="19" priority="16" operator="equal">
      <formula>"Kinetic"</formula>
    </cfRule>
  </conditionalFormatting>
  <conditionalFormatting sqref="F3:F62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62">
    <cfRule type="expression" dxfId="12" priority="18">
      <formula>$C3=MAX($C$3:$C62)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2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3890</v>
      </c>
      <c r="C3" s="128">
        <v>29.0</v>
      </c>
      <c r="D3" s="14" t="s">
        <v>65</v>
      </c>
      <c r="E3" s="128" t="s">
        <v>264</v>
      </c>
      <c r="F3" s="128">
        <v>43.0</v>
      </c>
      <c r="G3" s="14" t="s">
        <v>2423</v>
      </c>
      <c r="H3" s="197" t="s">
        <v>2727</v>
      </c>
      <c r="I3" s="197" t="s">
        <v>3891</v>
      </c>
      <c r="J3" s="197" t="s">
        <v>3892</v>
      </c>
      <c r="K3" s="197" t="s">
        <v>3893</v>
      </c>
      <c r="L3" s="197" t="s">
        <v>2457</v>
      </c>
      <c r="M3" s="197" t="s">
        <v>3894</v>
      </c>
      <c r="N3" s="128"/>
      <c r="O3" s="128"/>
    </row>
    <row r="4" ht="37.5" customHeight="1">
      <c r="A4" s="128"/>
      <c r="B4" s="14" t="s">
        <v>214</v>
      </c>
      <c r="C4" s="128">
        <v>29.0</v>
      </c>
      <c r="D4" s="14" t="s">
        <v>89</v>
      </c>
      <c r="E4" s="14" t="s">
        <v>14</v>
      </c>
      <c r="F4" s="128">
        <v>60.0</v>
      </c>
      <c r="G4" s="14" t="s">
        <v>2423</v>
      </c>
      <c r="H4" s="197" t="s">
        <v>2727</v>
      </c>
      <c r="I4" s="197" t="s">
        <v>3735</v>
      </c>
      <c r="J4" s="198" t="s">
        <v>3895</v>
      </c>
      <c r="K4" s="197" t="s">
        <v>3896</v>
      </c>
      <c r="L4" s="197" t="s">
        <v>718</v>
      </c>
      <c r="M4" s="197" t="s">
        <v>3897</v>
      </c>
      <c r="N4" s="128">
        <v>1.0</v>
      </c>
      <c r="O4" s="128" t="s">
        <v>71</v>
      </c>
    </row>
    <row r="5" ht="37.5" customHeight="1">
      <c r="A5" s="128"/>
      <c r="B5" s="128" t="s">
        <v>484</v>
      </c>
      <c r="C5" s="128">
        <v>28.0</v>
      </c>
      <c r="D5" s="128" t="s">
        <v>157</v>
      </c>
      <c r="E5" s="128" t="s">
        <v>2093</v>
      </c>
      <c r="F5" s="128">
        <v>43.0</v>
      </c>
      <c r="G5" s="14" t="s">
        <v>2423</v>
      </c>
      <c r="H5" s="197" t="s">
        <v>2727</v>
      </c>
      <c r="I5" s="197" t="s">
        <v>3898</v>
      </c>
      <c r="J5" s="197" t="s">
        <v>141</v>
      </c>
      <c r="K5" s="197" t="s">
        <v>1869</v>
      </c>
      <c r="L5" s="197" t="s">
        <v>2472</v>
      </c>
      <c r="M5" s="197" t="s">
        <v>3899</v>
      </c>
      <c r="N5" s="128">
        <v>2.0</v>
      </c>
      <c r="O5" s="128" t="s">
        <v>71</v>
      </c>
    </row>
    <row r="6" ht="37.5" customHeight="1">
      <c r="A6" s="13"/>
      <c r="B6" s="128" t="s">
        <v>631</v>
      </c>
      <c r="C6" s="128">
        <v>27.0</v>
      </c>
      <c r="D6" s="128" t="s">
        <v>83</v>
      </c>
      <c r="E6" s="14" t="s">
        <v>14</v>
      </c>
      <c r="F6" s="128">
        <v>54.0</v>
      </c>
      <c r="G6" s="14" t="s">
        <v>2423</v>
      </c>
      <c r="H6" s="197" t="s">
        <v>2727</v>
      </c>
      <c r="I6" s="197" t="s">
        <v>3735</v>
      </c>
      <c r="J6" s="197" t="s">
        <v>3900</v>
      </c>
      <c r="K6" s="197" t="s">
        <v>3901</v>
      </c>
      <c r="L6" s="197" t="s">
        <v>2448</v>
      </c>
      <c r="M6" s="198" t="s">
        <v>3902</v>
      </c>
      <c r="N6" s="128">
        <v>3.0</v>
      </c>
      <c r="O6" s="128" t="s">
        <v>71</v>
      </c>
    </row>
    <row r="7" ht="37.5" customHeight="1">
      <c r="A7" s="128"/>
      <c r="B7" s="14" t="s">
        <v>3903</v>
      </c>
      <c r="C7" s="128">
        <v>29.0</v>
      </c>
      <c r="D7" s="14" t="s">
        <v>65</v>
      </c>
      <c r="E7" s="14" t="s">
        <v>14</v>
      </c>
      <c r="F7" s="128">
        <v>45.0</v>
      </c>
      <c r="G7" s="14" t="s">
        <v>2423</v>
      </c>
      <c r="H7" s="197" t="s">
        <v>2727</v>
      </c>
      <c r="I7" s="197" t="s">
        <v>3735</v>
      </c>
      <c r="J7" s="198" t="s">
        <v>146</v>
      </c>
      <c r="K7" s="197" t="s">
        <v>3904</v>
      </c>
      <c r="L7" s="197" t="s">
        <v>1070</v>
      </c>
      <c r="M7" s="197" t="s">
        <v>3905</v>
      </c>
      <c r="N7" s="128">
        <v>4.0</v>
      </c>
      <c r="O7" s="128" t="s">
        <v>71</v>
      </c>
    </row>
    <row r="8" ht="37.5" customHeight="1">
      <c r="A8" s="13"/>
      <c r="B8" s="14" t="s">
        <v>252</v>
      </c>
      <c r="C8" s="128">
        <v>29.0</v>
      </c>
      <c r="D8" s="14" t="s">
        <v>73</v>
      </c>
      <c r="E8" s="14" t="s">
        <v>14</v>
      </c>
      <c r="F8" s="128">
        <v>44.0</v>
      </c>
      <c r="G8" s="14" t="s">
        <v>2423</v>
      </c>
      <c r="H8" s="197" t="s">
        <v>2727</v>
      </c>
      <c r="I8" s="197" t="s">
        <v>3735</v>
      </c>
      <c r="J8" s="197" t="s">
        <v>1959</v>
      </c>
      <c r="K8" s="197" t="s">
        <v>722</v>
      </c>
      <c r="L8" s="197" t="s">
        <v>1212</v>
      </c>
      <c r="M8" s="197" t="s">
        <v>3906</v>
      </c>
      <c r="N8" s="128">
        <v>5.0</v>
      </c>
      <c r="O8" s="128" t="s">
        <v>71</v>
      </c>
    </row>
    <row r="9" ht="37.5" customHeight="1">
      <c r="A9" s="128"/>
      <c r="B9" s="128" t="s">
        <v>442</v>
      </c>
      <c r="C9" s="128">
        <v>28.0</v>
      </c>
      <c r="D9" s="14" t="s">
        <v>89</v>
      </c>
      <c r="E9" s="14" t="s">
        <v>16</v>
      </c>
      <c r="F9" s="128">
        <v>37.0</v>
      </c>
      <c r="G9" s="14" t="s">
        <v>2423</v>
      </c>
      <c r="H9" s="197" t="s">
        <v>2727</v>
      </c>
      <c r="I9" s="197" t="s">
        <v>3891</v>
      </c>
      <c r="J9" s="197" t="s">
        <v>3907</v>
      </c>
      <c r="K9" s="197" t="s">
        <v>3908</v>
      </c>
      <c r="L9" s="197" t="s">
        <v>2457</v>
      </c>
      <c r="M9" s="197" t="s">
        <v>3909</v>
      </c>
      <c r="N9" s="128">
        <v>6.0</v>
      </c>
      <c r="O9" s="128" t="s">
        <v>71</v>
      </c>
    </row>
    <row r="10" ht="37.5" customHeight="1">
      <c r="A10" s="13"/>
      <c r="B10" s="14" t="s">
        <v>253</v>
      </c>
      <c r="C10" s="128">
        <v>29.0</v>
      </c>
      <c r="D10" s="14" t="s">
        <v>65</v>
      </c>
      <c r="E10" s="14" t="s">
        <v>13</v>
      </c>
      <c r="F10" s="128">
        <v>36.0</v>
      </c>
      <c r="G10" s="14" t="s">
        <v>2423</v>
      </c>
      <c r="H10" s="197" t="s">
        <v>2727</v>
      </c>
      <c r="I10" s="197" t="s">
        <v>3891</v>
      </c>
      <c r="J10" s="198" t="s">
        <v>146</v>
      </c>
      <c r="K10" s="198" t="s">
        <v>722</v>
      </c>
      <c r="L10" s="198" t="s">
        <v>2457</v>
      </c>
      <c r="M10" s="197" t="s">
        <v>3910</v>
      </c>
      <c r="N10" s="128">
        <v>7.0</v>
      </c>
      <c r="O10" s="14" t="s">
        <v>92</v>
      </c>
    </row>
    <row r="11" ht="37.5" customHeight="1">
      <c r="A11" s="13"/>
      <c r="B11" s="14" t="s">
        <v>182</v>
      </c>
      <c r="C11" s="128">
        <v>29.0</v>
      </c>
      <c r="D11" s="14" t="s">
        <v>89</v>
      </c>
      <c r="E11" s="14" t="s">
        <v>14</v>
      </c>
      <c r="F11" s="128">
        <v>42.0</v>
      </c>
      <c r="G11" s="14" t="s">
        <v>2423</v>
      </c>
      <c r="H11" s="197" t="s">
        <v>2727</v>
      </c>
      <c r="I11" s="197" t="s">
        <v>3760</v>
      </c>
      <c r="J11" s="198" t="s">
        <v>3911</v>
      </c>
      <c r="K11" s="198" t="s">
        <v>3912</v>
      </c>
      <c r="L11" s="198" t="s">
        <v>1536</v>
      </c>
      <c r="M11" s="197" t="s">
        <v>3913</v>
      </c>
      <c r="N11" s="128">
        <v>8.0</v>
      </c>
      <c r="O11" s="128" t="s">
        <v>92</v>
      </c>
    </row>
    <row r="12" ht="37.5" customHeight="1">
      <c r="A12" s="13"/>
      <c r="B12" s="14" t="s">
        <v>855</v>
      </c>
      <c r="C12" s="128">
        <v>29.0</v>
      </c>
      <c r="D12" s="14" t="s">
        <v>157</v>
      </c>
      <c r="E12" s="14" t="s">
        <v>16</v>
      </c>
      <c r="F12" s="128">
        <v>47.0</v>
      </c>
      <c r="G12" s="14" t="s">
        <v>2423</v>
      </c>
      <c r="H12" s="197" t="s">
        <v>2727</v>
      </c>
      <c r="I12" s="197" t="s">
        <v>3891</v>
      </c>
      <c r="J12" s="198" t="s">
        <v>3914</v>
      </c>
      <c r="K12" s="198" t="s">
        <v>3915</v>
      </c>
      <c r="L12" s="198" t="s">
        <v>1063</v>
      </c>
      <c r="M12" s="197" t="s">
        <v>3916</v>
      </c>
      <c r="N12" s="128">
        <v>9.0</v>
      </c>
      <c r="O12" s="128" t="s">
        <v>92</v>
      </c>
    </row>
    <row r="13" ht="37.5" customHeight="1">
      <c r="A13" s="128"/>
      <c r="B13" s="128" t="s">
        <v>3917</v>
      </c>
      <c r="C13" s="128">
        <v>29.0</v>
      </c>
      <c r="D13" s="128" t="s">
        <v>83</v>
      </c>
      <c r="E13" s="14" t="s">
        <v>13</v>
      </c>
      <c r="F13" s="128">
        <v>41.0</v>
      </c>
      <c r="G13" s="14" t="s">
        <v>2423</v>
      </c>
      <c r="H13" s="197" t="s">
        <v>2727</v>
      </c>
      <c r="I13" s="197" t="s">
        <v>3891</v>
      </c>
      <c r="J13" s="197" t="s">
        <v>146</v>
      </c>
      <c r="K13" s="197" t="s">
        <v>3918</v>
      </c>
      <c r="L13" s="197" t="s">
        <v>2432</v>
      </c>
      <c r="M13" s="197" t="s">
        <v>3919</v>
      </c>
      <c r="N13" s="128">
        <v>10.0</v>
      </c>
      <c r="O13" s="128" t="s">
        <v>92</v>
      </c>
    </row>
    <row r="14" ht="37.5" customHeight="1">
      <c r="A14" s="13"/>
      <c r="B14" s="14" t="s">
        <v>208</v>
      </c>
      <c r="C14" s="128">
        <v>29.0</v>
      </c>
      <c r="D14" s="128" t="s">
        <v>94</v>
      </c>
      <c r="E14" s="14" t="s">
        <v>14</v>
      </c>
      <c r="F14" s="128">
        <v>48.0</v>
      </c>
      <c r="G14" s="14" t="s">
        <v>2423</v>
      </c>
      <c r="H14" s="197" t="s">
        <v>2727</v>
      </c>
      <c r="I14" s="197" t="s">
        <v>3735</v>
      </c>
      <c r="J14" s="198" t="s">
        <v>3920</v>
      </c>
      <c r="K14" s="198" t="s">
        <v>3775</v>
      </c>
      <c r="L14" s="198" t="s">
        <v>1075</v>
      </c>
      <c r="M14" s="197" t="s">
        <v>3921</v>
      </c>
      <c r="N14" s="128">
        <v>11.0</v>
      </c>
      <c r="O14" s="128" t="s">
        <v>92</v>
      </c>
    </row>
    <row r="15" ht="37.5" customHeight="1">
      <c r="A15" s="128"/>
      <c r="B15" s="128" t="s">
        <v>775</v>
      </c>
      <c r="C15" s="128">
        <v>29.0</v>
      </c>
      <c r="D15" s="14" t="s">
        <v>73</v>
      </c>
      <c r="E15" s="14" t="s">
        <v>16</v>
      </c>
      <c r="F15" s="128">
        <v>45.0</v>
      </c>
      <c r="G15" s="14" t="s">
        <v>2423</v>
      </c>
      <c r="H15" s="197" t="s">
        <v>2727</v>
      </c>
      <c r="I15" s="197" t="s">
        <v>3891</v>
      </c>
      <c r="J15" s="197" t="s">
        <v>3922</v>
      </c>
      <c r="K15" s="197" t="s">
        <v>3923</v>
      </c>
      <c r="L15" s="197" t="s">
        <v>1527</v>
      </c>
      <c r="M15" s="197" t="s">
        <v>3924</v>
      </c>
      <c r="N15" s="128">
        <v>12.0</v>
      </c>
      <c r="O15" s="128" t="s">
        <v>92</v>
      </c>
    </row>
    <row r="16" ht="37.5" customHeight="1">
      <c r="A16" s="128"/>
      <c r="B16" s="128" t="s">
        <v>3925</v>
      </c>
      <c r="C16" s="128">
        <v>29.0</v>
      </c>
      <c r="D16" s="128" t="s">
        <v>94</v>
      </c>
      <c r="E16" s="14" t="s">
        <v>16</v>
      </c>
      <c r="F16" s="128">
        <v>39.0</v>
      </c>
      <c r="G16" s="14" t="s">
        <v>2423</v>
      </c>
      <c r="H16" s="197" t="s">
        <v>2727</v>
      </c>
      <c r="I16" s="197" t="s">
        <v>3891</v>
      </c>
      <c r="J16" s="197" t="s">
        <v>3926</v>
      </c>
      <c r="K16" s="197" t="s">
        <v>3927</v>
      </c>
      <c r="L16" s="197" t="s">
        <v>2516</v>
      </c>
      <c r="M16" s="197" t="s">
        <v>3928</v>
      </c>
      <c r="N16" s="128">
        <v>13.0</v>
      </c>
      <c r="O16" s="128" t="s">
        <v>92</v>
      </c>
    </row>
    <row r="17" ht="37.5" customHeight="1">
      <c r="A17" s="13"/>
      <c r="B17" s="14" t="s">
        <v>1295</v>
      </c>
      <c r="C17" s="128">
        <v>29.0</v>
      </c>
      <c r="D17" s="14" t="s">
        <v>73</v>
      </c>
      <c r="E17" s="14" t="s">
        <v>14</v>
      </c>
      <c r="F17" s="128">
        <v>45.0</v>
      </c>
      <c r="G17" s="14" t="s">
        <v>2423</v>
      </c>
      <c r="H17" s="197" t="s">
        <v>2727</v>
      </c>
      <c r="I17" s="197" t="s">
        <v>3735</v>
      </c>
      <c r="J17" s="198" t="s">
        <v>146</v>
      </c>
      <c r="K17" s="198" t="s">
        <v>211</v>
      </c>
      <c r="L17" s="198" t="s">
        <v>1524</v>
      </c>
      <c r="M17" s="197" t="s">
        <v>3929</v>
      </c>
      <c r="N17" s="128">
        <v>14.0</v>
      </c>
      <c r="O17" s="128" t="s">
        <v>92</v>
      </c>
    </row>
    <row r="18" ht="37.5" customHeight="1">
      <c r="A18" s="13"/>
      <c r="B18" s="14" t="s">
        <v>3930</v>
      </c>
      <c r="C18" s="128">
        <v>29.0</v>
      </c>
      <c r="D18" s="14" t="s">
        <v>89</v>
      </c>
      <c r="E18" s="14" t="s">
        <v>16</v>
      </c>
      <c r="F18" s="128">
        <v>50.0</v>
      </c>
      <c r="G18" s="14" t="s">
        <v>2423</v>
      </c>
      <c r="H18" s="197" t="s">
        <v>2727</v>
      </c>
      <c r="I18" s="197" t="s">
        <v>3891</v>
      </c>
      <c r="J18" s="198" t="s">
        <v>3931</v>
      </c>
      <c r="K18" s="198" t="s">
        <v>3932</v>
      </c>
      <c r="L18" s="198" t="s">
        <v>2779</v>
      </c>
      <c r="M18" s="197" t="s">
        <v>3933</v>
      </c>
      <c r="N18" s="128">
        <v>15.0</v>
      </c>
      <c r="O18" s="14" t="s">
        <v>92</v>
      </c>
    </row>
    <row r="19" ht="37.5" customHeight="1">
      <c r="A19" s="13"/>
      <c r="B19" s="14" t="s">
        <v>185</v>
      </c>
      <c r="C19" s="128">
        <v>29.0</v>
      </c>
      <c r="D19" s="128" t="s">
        <v>89</v>
      </c>
      <c r="E19" s="14" t="s">
        <v>16</v>
      </c>
      <c r="F19" s="128">
        <v>50.0</v>
      </c>
      <c r="G19" s="14" t="s">
        <v>2423</v>
      </c>
      <c r="H19" s="197" t="s">
        <v>2727</v>
      </c>
      <c r="I19" s="197" t="s">
        <v>3891</v>
      </c>
      <c r="J19" s="198" t="s">
        <v>3934</v>
      </c>
      <c r="K19" s="198" t="s">
        <v>3935</v>
      </c>
      <c r="L19" s="198" t="s">
        <v>1519</v>
      </c>
      <c r="M19" s="197" t="s">
        <v>3936</v>
      </c>
      <c r="N19" s="128">
        <v>16.0</v>
      </c>
      <c r="O19" s="14" t="s">
        <v>92</v>
      </c>
    </row>
    <row r="20" ht="37.5" customHeight="1">
      <c r="A20" s="13"/>
      <c r="B20" s="128" t="s">
        <v>853</v>
      </c>
      <c r="C20" s="128">
        <v>25.0</v>
      </c>
      <c r="D20" s="14" t="s">
        <v>94</v>
      </c>
      <c r="E20" s="14" t="s">
        <v>16</v>
      </c>
      <c r="F20" s="128">
        <v>33.0</v>
      </c>
      <c r="G20" s="14" t="s">
        <v>2423</v>
      </c>
      <c r="H20" s="197" t="s">
        <v>2727</v>
      </c>
      <c r="I20" s="197" t="s">
        <v>3891</v>
      </c>
      <c r="J20" s="197" t="s">
        <v>3937</v>
      </c>
      <c r="K20" s="197" t="s">
        <v>1053</v>
      </c>
      <c r="L20" s="197" t="s">
        <v>1527</v>
      </c>
      <c r="M20" s="197" t="s">
        <v>3938</v>
      </c>
      <c r="N20" s="128">
        <v>17.0</v>
      </c>
      <c r="O20" s="128" t="s">
        <v>120</v>
      </c>
    </row>
    <row r="21" ht="37.5" customHeight="1">
      <c r="A21" s="13"/>
      <c r="B21" s="128" t="s">
        <v>866</v>
      </c>
      <c r="C21" s="128">
        <v>25.0</v>
      </c>
      <c r="D21" s="14" t="s">
        <v>94</v>
      </c>
      <c r="E21" s="128" t="s">
        <v>13</v>
      </c>
      <c r="F21" s="128">
        <v>40.0</v>
      </c>
      <c r="G21" s="14" t="s">
        <v>2423</v>
      </c>
      <c r="H21" s="197" t="s">
        <v>2727</v>
      </c>
      <c r="I21" s="197" t="s">
        <v>3760</v>
      </c>
      <c r="J21" s="197" t="s">
        <v>3939</v>
      </c>
      <c r="K21" s="197" t="s">
        <v>1053</v>
      </c>
      <c r="L21" s="197" t="s">
        <v>1067</v>
      </c>
      <c r="M21" s="197" t="s">
        <v>3940</v>
      </c>
      <c r="N21" s="128">
        <v>18.0</v>
      </c>
      <c r="O21" s="128" t="s">
        <v>120</v>
      </c>
    </row>
    <row r="22" ht="37.5" customHeight="1">
      <c r="A22" s="13"/>
      <c r="B22" s="14" t="s">
        <v>192</v>
      </c>
      <c r="C22" s="128">
        <v>20.0</v>
      </c>
      <c r="D22" s="14" t="s">
        <v>157</v>
      </c>
      <c r="E22" s="14" t="s">
        <v>14</v>
      </c>
      <c r="F22" s="128">
        <v>46.0</v>
      </c>
      <c r="G22" s="14" t="s">
        <v>2597</v>
      </c>
      <c r="H22" s="197" t="s">
        <v>2727</v>
      </c>
      <c r="I22" s="197" t="s">
        <v>3735</v>
      </c>
      <c r="J22" s="198" t="s">
        <v>3941</v>
      </c>
      <c r="K22" s="198" t="s">
        <v>3942</v>
      </c>
      <c r="L22" s="198" t="s">
        <v>2600</v>
      </c>
      <c r="M22" s="197" t="s">
        <v>3943</v>
      </c>
      <c r="N22" s="128">
        <v>19.0</v>
      </c>
      <c r="O22" s="128" t="s">
        <v>120</v>
      </c>
    </row>
    <row r="23" ht="37.5" customHeight="1">
      <c r="A23" s="13"/>
      <c r="B23" s="14" t="s">
        <v>233</v>
      </c>
      <c r="C23" s="128">
        <v>29.0</v>
      </c>
      <c r="D23" s="14" t="s">
        <v>65</v>
      </c>
      <c r="E23" s="14" t="s">
        <v>16</v>
      </c>
      <c r="F23" s="128">
        <v>59.0</v>
      </c>
      <c r="G23" s="14" t="s">
        <v>2423</v>
      </c>
      <c r="H23" s="197" t="s">
        <v>2727</v>
      </c>
      <c r="I23" s="197" t="s">
        <v>3891</v>
      </c>
      <c r="J23" s="198" t="s">
        <v>3944</v>
      </c>
      <c r="K23" s="198" t="s">
        <v>3945</v>
      </c>
      <c r="L23" s="198" t="s">
        <v>895</v>
      </c>
      <c r="M23" s="197" t="s">
        <v>3946</v>
      </c>
      <c r="N23" s="128">
        <v>20.0</v>
      </c>
      <c r="O23" s="128" t="s">
        <v>120</v>
      </c>
    </row>
    <row r="24" ht="37.5" customHeight="1">
      <c r="A24" s="13"/>
      <c r="B24" s="128" t="s">
        <v>633</v>
      </c>
      <c r="C24" s="128">
        <v>27.0</v>
      </c>
      <c r="D24" s="14" t="s">
        <v>94</v>
      </c>
      <c r="E24" s="14" t="s">
        <v>14</v>
      </c>
      <c r="F24" s="128">
        <v>55.0</v>
      </c>
      <c r="G24" s="14" t="s">
        <v>2423</v>
      </c>
      <c r="H24" s="197" t="s">
        <v>2727</v>
      </c>
      <c r="I24" s="197" t="s">
        <v>3735</v>
      </c>
      <c r="J24" s="197" t="s">
        <v>3947</v>
      </c>
      <c r="K24" s="197" t="s">
        <v>3948</v>
      </c>
      <c r="L24" s="197" t="s">
        <v>1209</v>
      </c>
      <c r="M24" s="197" t="s">
        <v>3949</v>
      </c>
      <c r="N24" s="128">
        <v>21.0</v>
      </c>
      <c r="O24" s="128" t="s">
        <v>120</v>
      </c>
    </row>
    <row r="25" ht="37.5" customHeight="1">
      <c r="A25" s="128"/>
      <c r="B25" s="14" t="s">
        <v>3950</v>
      </c>
      <c r="C25" s="128">
        <v>29.0</v>
      </c>
      <c r="D25" s="14" t="s">
        <v>89</v>
      </c>
      <c r="E25" s="14" t="s">
        <v>14</v>
      </c>
      <c r="F25" s="128">
        <v>45.0</v>
      </c>
      <c r="G25" s="14" t="s">
        <v>2423</v>
      </c>
      <c r="H25" s="197" t="s">
        <v>2727</v>
      </c>
      <c r="I25" s="197" t="s">
        <v>3735</v>
      </c>
      <c r="J25" s="198" t="s">
        <v>3951</v>
      </c>
      <c r="K25" s="197" t="s">
        <v>3952</v>
      </c>
      <c r="L25" s="197" t="s">
        <v>2444</v>
      </c>
      <c r="M25" s="197" t="s">
        <v>3953</v>
      </c>
      <c r="N25" s="128">
        <v>22.0</v>
      </c>
      <c r="O25" s="128" t="s">
        <v>120</v>
      </c>
    </row>
    <row r="26" ht="37.5" customHeight="1">
      <c r="A26" s="13"/>
      <c r="B26" s="14" t="s">
        <v>222</v>
      </c>
      <c r="C26" s="128">
        <v>29.0</v>
      </c>
      <c r="D26" s="14" t="s">
        <v>157</v>
      </c>
      <c r="E26" s="14" t="s">
        <v>14</v>
      </c>
      <c r="F26" s="128">
        <v>39.0</v>
      </c>
      <c r="G26" s="14" t="s">
        <v>2423</v>
      </c>
      <c r="H26" s="197" t="s">
        <v>2727</v>
      </c>
      <c r="I26" s="197" t="s">
        <v>3735</v>
      </c>
      <c r="J26" s="198" t="s">
        <v>158</v>
      </c>
      <c r="K26" s="198" t="s">
        <v>211</v>
      </c>
      <c r="L26" s="198" t="s">
        <v>1084</v>
      </c>
      <c r="M26" s="197" t="s">
        <v>3954</v>
      </c>
      <c r="N26" s="128">
        <v>23.0</v>
      </c>
      <c r="O26" s="128" t="s">
        <v>120</v>
      </c>
    </row>
    <row r="27" ht="37.5" customHeight="1">
      <c r="A27" s="13"/>
      <c r="B27" s="14" t="s">
        <v>188</v>
      </c>
      <c r="C27" s="128">
        <v>10.0</v>
      </c>
      <c r="D27" s="14" t="s">
        <v>73</v>
      </c>
      <c r="E27" s="14" t="s">
        <v>14</v>
      </c>
      <c r="F27" s="128">
        <v>47.0</v>
      </c>
      <c r="G27" s="14" t="s">
        <v>2597</v>
      </c>
      <c r="H27" s="197" t="s">
        <v>2727</v>
      </c>
      <c r="I27" s="197" t="s">
        <v>3735</v>
      </c>
      <c r="J27" s="198" t="s">
        <v>3955</v>
      </c>
      <c r="K27" s="198" t="s">
        <v>190</v>
      </c>
      <c r="L27" s="198" t="s">
        <v>75</v>
      </c>
      <c r="M27" s="197" t="s">
        <v>3956</v>
      </c>
      <c r="N27" s="128">
        <v>24.0</v>
      </c>
      <c r="O27" s="128" t="s">
        <v>136</v>
      </c>
    </row>
    <row r="28" ht="37.5" customHeight="1">
      <c r="A28" s="13"/>
      <c r="B28" s="14" t="s">
        <v>244</v>
      </c>
      <c r="C28" s="128">
        <v>29.0</v>
      </c>
      <c r="D28" s="14" t="s">
        <v>73</v>
      </c>
      <c r="E28" s="14" t="s">
        <v>13</v>
      </c>
      <c r="F28" s="128">
        <v>50.0</v>
      </c>
      <c r="G28" s="14" t="s">
        <v>2423</v>
      </c>
      <c r="H28" s="197" t="s">
        <v>2727</v>
      </c>
      <c r="I28" s="197" t="s">
        <v>3760</v>
      </c>
      <c r="J28" s="198" t="s">
        <v>3957</v>
      </c>
      <c r="K28" s="198" t="s">
        <v>3958</v>
      </c>
      <c r="L28" s="198" t="s">
        <v>2836</v>
      </c>
      <c r="M28" s="197" t="s">
        <v>3959</v>
      </c>
      <c r="N28" s="128">
        <v>25.0</v>
      </c>
      <c r="O28" s="128" t="s">
        <v>136</v>
      </c>
    </row>
    <row r="29" ht="37.5" customHeight="1">
      <c r="A29" s="13"/>
      <c r="B29" s="14" t="s">
        <v>691</v>
      </c>
      <c r="C29" s="128">
        <v>29.0</v>
      </c>
      <c r="D29" s="14" t="s">
        <v>94</v>
      </c>
      <c r="E29" s="14" t="s">
        <v>13</v>
      </c>
      <c r="F29" s="128">
        <v>36.0</v>
      </c>
      <c r="G29" s="14" t="s">
        <v>2423</v>
      </c>
      <c r="H29" s="197" t="s">
        <v>2727</v>
      </c>
      <c r="I29" s="197" t="s">
        <v>3760</v>
      </c>
      <c r="J29" s="198" t="s">
        <v>3960</v>
      </c>
      <c r="K29" s="198" t="s">
        <v>3961</v>
      </c>
      <c r="L29" s="198" t="s">
        <v>1539</v>
      </c>
      <c r="M29" s="197" t="s">
        <v>3962</v>
      </c>
      <c r="N29" s="128">
        <v>26.0</v>
      </c>
      <c r="O29" s="128" t="s">
        <v>136</v>
      </c>
    </row>
    <row r="30" ht="37.5" customHeight="1">
      <c r="A30" s="13"/>
      <c r="B30" s="14" t="s">
        <v>227</v>
      </c>
      <c r="C30" s="128">
        <v>16.0</v>
      </c>
      <c r="D30" s="128" t="s">
        <v>94</v>
      </c>
      <c r="E30" s="14" t="s">
        <v>13</v>
      </c>
      <c r="F30" s="128">
        <v>45.0</v>
      </c>
      <c r="G30" s="14" t="s">
        <v>2597</v>
      </c>
      <c r="H30" s="197" t="s">
        <v>2727</v>
      </c>
      <c r="I30" s="197" t="s">
        <v>3760</v>
      </c>
      <c r="J30" s="198" t="s">
        <v>3963</v>
      </c>
      <c r="K30" s="198" t="s">
        <v>3964</v>
      </c>
      <c r="L30" s="198" t="s">
        <v>2624</v>
      </c>
      <c r="M30" s="197" t="s">
        <v>3959</v>
      </c>
      <c r="N30" s="128">
        <v>27.0</v>
      </c>
      <c r="O30" s="128" t="s">
        <v>136</v>
      </c>
    </row>
    <row r="31" ht="37.5" customHeight="1">
      <c r="A31" s="13"/>
      <c r="B31" s="14" t="s">
        <v>255</v>
      </c>
      <c r="C31" s="128">
        <v>29.0</v>
      </c>
      <c r="D31" s="14" t="s">
        <v>89</v>
      </c>
      <c r="E31" s="14" t="s">
        <v>13</v>
      </c>
      <c r="F31" s="128">
        <v>45.0</v>
      </c>
      <c r="G31" s="14" t="s">
        <v>2423</v>
      </c>
      <c r="H31" s="197" t="s">
        <v>2727</v>
      </c>
      <c r="I31" s="197" t="s">
        <v>3760</v>
      </c>
      <c r="J31" s="198" t="s">
        <v>3965</v>
      </c>
      <c r="K31" s="198" t="s">
        <v>3966</v>
      </c>
      <c r="L31" s="198" t="s">
        <v>1087</v>
      </c>
      <c r="M31" s="197" t="s">
        <v>3967</v>
      </c>
      <c r="N31" s="128">
        <v>28.0</v>
      </c>
      <c r="O31" s="128" t="s">
        <v>136</v>
      </c>
    </row>
    <row r="32" ht="37.5" customHeight="1">
      <c r="A32" s="13"/>
      <c r="B32" s="14" t="s">
        <v>251</v>
      </c>
      <c r="C32" s="128">
        <v>29.0</v>
      </c>
      <c r="D32" s="14" t="s">
        <v>65</v>
      </c>
      <c r="E32" s="14" t="s">
        <v>14</v>
      </c>
      <c r="F32" s="128">
        <v>51.0</v>
      </c>
      <c r="G32" s="14" t="s">
        <v>2423</v>
      </c>
      <c r="H32" s="197" t="s">
        <v>2727</v>
      </c>
      <c r="I32" s="197" t="s">
        <v>3735</v>
      </c>
      <c r="J32" s="198" t="s">
        <v>3968</v>
      </c>
      <c r="K32" s="198" t="s">
        <v>968</v>
      </c>
      <c r="L32" s="198" t="s">
        <v>2533</v>
      </c>
      <c r="M32" s="197" t="s">
        <v>3969</v>
      </c>
      <c r="N32" s="128">
        <v>29.0</v>
      </c>
      <c r="O32" s="128" t="s">
        <v>136</v>
      </c>
    </row>
    <row r="33" ht="37.5" customHeight="1">
      <c r="A33" s="13"/>
      <c r="B33" s="14" t="s">
        <v>3970</v>
      </c>
      <c r="C33" s="128">
        <v>29.0</v>
      </c>
      <c r="D33" s="14" t="s">
        <v>83</v>
      </c>
      <c r="E33" s="14" t="s">
        <v>14</v>
      </c>
      <c r="F33" s="128">
        <v>55.0</v>
      </c>
      <c r="G33" s="14" t="s">
        <v>2423</v>
      </c>
      <c r="H33" s="197" t="s">
        <v>2727</v>
      </c>
      <c r="I33" s="197" t="s">
        <v>3735</v>
      </c>
      <c r="J33" s="198" t="s">
        <v>3971</v>
      </c>
      <c r="K33" s="198" t="s">
        <v>3972</v>
      </c>
      <c r="L33" s="198" t="s">
        <v>1506</v>
      </c>
      <c r="M33" s="197" t="s">
        <v>3973</v>
      </c>
      <c r="N33" s="128">
        <v>30.0</v>
      </c>
      <c r="O33" s="128" t="s">
        <v>136</v>
      </c>
    </row>
    <row r="34" ht="37.5" customHeight="1">
      <c r="A34" s="13"/>
      <c r="B34" s="14" t="s">
        <v>230</v>
      </c>
      <c r="C34" s="128">
        <v>29.0</v>
      </c>
      <c r="D34" s="14" t="s">
        <v>89</v>
      </c>
      <c r="E34" s="14" t="s">
        <v>13</v>
      </c>
      <c r="F34" s="128">
        <v>35.0</v>
      </c>
      <c r="G34" s="14" t="s">
        <v>2423</v>
      </c>
      <c r="H34" s="197" t="s">
        <v>2727</v>
      </c>
      <c r="I34" s="197" t="s">
        <v>3891</v>
      </c>
      <c r="J34" s="198" t="s">
        <v>3974</v>
      </c>
      <c r="K34" s="198" t="s">
        <v>3975</v>
      </c>
      <c r="L34" s="198" t="s">
        <v>279</v>
      </c>
      <c r="M34" s="197" t="s">
        <v>3976</v>
      </c>
      <c r="N34" s="128">
        <v>31.0</v>
      </c>
      <c r="O34" s="128" t="s">
        <v>136</v>
      </c>
    </row>
    <row r="35" ht="37.5" customHeight="1">
      <c r="A35" s="13"/>
      <c r="B35" s="14" t="s">
        <v>221</v>
      </c>
      <c r="C35" s="128">
        <v>29.0</v>
      </c>
      <c r="D35" s="14" t="s">
        <v>73</v>
      </c>
      <c r="E35" s="14" t="s">
        <v>14</v>
      </c>
      <c r="F35" s="128">
        <v>45.0</v>
      </c>
      <c r="G35" s="14" t="s">
        <v>2423</v>
      </c>
      <c r="H35" s="197" t="s">
        <v>2727</v>
      </c>
      <c r="I35" s="197" t="s">
        <v>3735</v>
      </c>
      <c r="J35" s="198" t="s">
        <v>199</v>
      </c>
      <c r="K35" s="198" t="s">
        <v>3977</v>
      </c>
      <c r="L35" s="198" t="s">
        <v>422</v>
      </c>
      <c r="M35" s="197" t="s">
        <v>3978</v>
      </c>
      <c r="N35" s="128">
        <v>32.0</v>
      </c>
      <c r="O35" s="128" t="s">
        <v>136</v>
      </c>
    </row>
    <row r="36" ht="37.5" customHeight="1">
      <c r="A36" s="13"/>
      <c r="B36" s="14" t="s">
        <v>198</v>
      </c>
      <c r="C36" s="128">
        <v>29.0</v>
      </c>
      <c r="D36" s="14" t="s">
        <v>73</v>
      </c>
      <c r="E36" s="14" t="s">
        <v>16</v>
      </c>
      <c r="F36" s="128">
        <v>29.0</v>
      </c>
      <c r="G36" s="14" t="s">
        <v>2423</v>
      </c>
      <c r="H36" s="197" t="s">
        <v>2727</v>
      </c>
      <c r="I36" s="197" t="s">
        <v>3891</v>
      </c>
      <c r="J36" s="198" t="s">
        <v>3979</v>
      </c>
      <c r="K36" s="198" t="s">
        <v>3980</v>
      </c>
      <c r="L36" s="198" t="s">
        <v>2486</v>
      </c>
      <c r="M36" s="197" t="s">
        <v>3981</v>
      </c>
      <c r="N36" s="128">
        <v>33.0</v>
      </c>
      <c r="O36" s="128" t="s">
        <v>136</v>
      </c>
    </row>
    <row r="37" ht="37.5" customHeight="1">
      <c r="A37" s="128"/>
      <c r="B37" s="128" t="s">
        <v>3982</v>
      </c>
      <c r="C37" s="128">
        <v>29.0</v>
      </c>
      <c r="D37" s="128" t="s">
        <v>65</v>
      </c>
      <c r="E37" s="14" t="s">
        <v>16</v>
      </c>
      <c r="F37" s="128">
        <v>45.0</v>
      </c>
      <c r="G37" s="14" t="s">
        <v>2423</v>
      </c>
      <c r="H37" s="197" t="s">
        <v>2727</v>
      </c>
      <c r="I37" s="197" t="s">
        <v>3891</v>
      </c>
      <c r="J37" s="197" t="s">
        <v>3983</v>
      </c>
      <c r="K37" s="197" t="s">
        <v>3984</v>
      </c>
      <c r="L37" s="197" t="s">
        <v>2467</v>
      </c>
      <c r="M37" s="197" t="s">
        <v>3985</v>
      </c>
      <c r="N37" s="128">
        <v>34.0</v>
      </c>
      <c r="O37" s="128" t="s">
        <v>136</v>
      </c>
    </row>
    <row r="38" ht="37.5" customHeight="1">
      <c r="A38" s="13"/>
      <c r="B38" s="14" t="s">
        <v>235</v>
      </c>
      <c r="C38" s="128">
        <v>29.0</v>
      </c>
      <c r="D38" s="14" t="s">
        <v>89</v>
      </c>
      <c r="E38" s="14" t="s">
        <v>13</v>
      </c>
      <c r="F38" s="128">
        <v>40.0</v>
      </c>
      <c r="G38" s="14" t="s">
        <v>2423</v>
      </c>
      <c r="H38" s="197" t="s">
        <v>2727</v>
      </c>
      <c r="I38" s="197" t="s">
        <v>3760</v>
      </c>
      <c r="J38" s="198" t="s">
        <v>3951</v>
      </c>
      <c r="K38" s="198" t="s">
        <v>3986</v>
      </c>
      <c r="L38" s="198" t="s">
        <v>2533</v>
      </c>
      <c r="M38" s="197" t="s">
        <v>3987</v>
      </c>
      <c r="N38" s="128">
        <v>35.0</v>
      </c>
      <c r="O38" s="128" t="s">
        <v>136</v>
      </c>
    </row>
    <row r="39" ht="37.5" customHeight="1">
      <c r="A39" s="13"/>
      <c r="B39" s="14" t="s">
        <v>223</v>
      </c>
      <c r="C39" s="128">
        <v>29.0</v>
      </c>
      <c r="D39" s="128" t="s">
        <v>94</v>
      </c>
      <c r="E39" s="14" t="s">
        <v>16</v>
      </c>
      <c r="F39" s="128">
        <v>45.0</v>
      </c>
      <c r="G39" s="14" t="s">
        <v>2423</v>
      </c>
      <c r="H39" s="197" t="s">
        <v>2727</v>
      </c>
      <c r="I39" s="197" t="s">
        <v>3891</v>
      </c>
      <c r="J39" s="198" t="s">
        <v>3988</v>
      </c>
      <c r="K39" s="198" t="s">
        <v>3989</v>
      </c>
      <c r="L39" s="198" t="s">
        <v>3107</v>
      </c>
      <c r="M39" s="197" t="s">
        <v>3990</v>
      </c>
      <c r="N39" s="128">
        <v>36.0</v>
      </c>
      <c r="O39" s="128" t="s">
        <v>136</v>
      </c>
    </row>
    <row r="40" ht="37.5" customHeight="1">
      <c r="A40" s="13"/>
      <c r="B40" s="14" t="s">
        <v>248</v>
      </c>
      <c r="C40" s="128">
        <v>29.0</v>
      </c>
      <c r="D40" s="14" t="s">
        <v>157</v>
      </c>
      <c r="E40" s="14" t="s">
        <v>13</v>
      </c>
      <c r="F40" s="128">
        <v>43.0</v>
      </c>
      <c r="G40" s="14" t="s">
        <v>2423</v>
      </c>
      <c r="H40" s="197" t="s">
        <v>2727</v>
      </c>
      <c r="I40" s="197" t="s">
        <v>3760</v>
      </c>
      <c r="J40" s="198" t="s">
        <v>3991</v>
      </c>
      <c r="K40" s="198" t="s">
        <v>3992</v>
      </c>
      <c r="L40" s="198" t="s">
        <v>1072</v>
      </c>
      <c r="M40" s="197" t="s">
        <v>3993</v>
      </c>
      <c r="N40" s="128">
        <v>37.0</v>
      </c>
      <c r="O40" s="14" t="s">
        <v>167</v>
      </c>
    </row>
    <row r="41" ht="37.5" customHeight="1">
      <c r="A41" s="13"/>
      <c r="B41" s="14" t="s">
        <v>205</v>
      </c>
      <c r="C41" s="128">
        <v>29.0</v>
      </c>
      <c r="D41" s="128" t="s">
        <v>83</v>
      </c>
      <c r="E41" s="14" t="s">
        <v>16</v>
      </c>
      <c r="F41" s="128">
        <v>28.0</v>
      </c>
      <c r="G41" s="14" t="s">
        <v>2423</v>
      </c>
      <c r="H41" s="197" t="s">
        <v>2727</v>
      </c>
      <c r="I41" s="197" t="s">
        <v>3891</v>
      </c>
      <c r="J41" s="198" t="s">
        <v>3994</v>
      </c>
      <c r="K41" s="198" t="s">
        <v>3995</v>
      </c>
      <c r="L41" s="198" t="s">
        <v>307</v>
      </c>
      <c r="M41" s="197" t="s">
        <v>3996</v>
      </c>
      <c r="N41" s="128">
        <v>38.0</v>
      </c>
      <c r="O41" s="14" t="s">
        <v>167</v>
      </c>
    </row>
    <row r="42" ht="37.5" customHeight="1">
      <c r="A42" s="13"/>
      <c r="B42" s="14" t="s">
        <v>250</v>
      </c>
      <c r="C42" s="128">
        <v>29.0</v>
      </c>
      <c r="D42" s="14" t="s">
        <v>157</v>
      </c>
      <c r="E42" s="14" t="s">
        <v>13</v>
      </c>
      <c r="F42" s="128">
        <v>48.0</v>
      </c>
      <c r="G42" s="14" t="s">
        <v>2423</v>
      </c>
      <c r="H42" s="197" t="s">
        <v>2727</v>
      </c>
      <c r="I42" s="197" t="s">
        <v>3760</v>
      </c>
      <c r="J42" s="198" t="s">
        <v>196</v>
      </c>
      <c r="K42" s="198" t="s">
        <v>3997</v>
      </c>
      <c r="L42" s="198" t="s">
        <v>2632</v>
      </c>
      <c r="M42" s="197" t="s">
        <v>3998</v>
      </c>
      <c r="N42" s="128">
        <v>39.0</v>
      </c>
      <c r="O42" s="14" t="s">
        <v>167</v>
      </c>
    </row>
    <row r="43" ht="37.5" customHeight="1">
      <c r="A43" s="13"/>
      <c r="B43" s="14" t="s">
        <v>218</v>
      </c>
      <c r="C43" s="128">
        <v>15.0</v>
      </c>
      <c r="D43" s="14" t="s">
        <v>73</v>
      </c>
      <c r="E43" s="14" t="s">
        <v>16</v>
      </c>
      <c r="F43" s="128">
        <v>41.0</v>
      </c>
      <c r="G43" s="14" t="s">
        <v>2597</v>
      </c>
      <c r="H43" s="197" t="s">
        <v>2727</v>
      </c>
      <c r="I43" s="197" t="s">
        <v>3891</v>
      </c>
      <c r="J43" s="198" t="s">
        <v>196</v>
      </c>
      <c r="K43" s="198" t="s">
        <v>3999</v>
      </c>
      <c r="L43" s="198" t="s">
        <v>75</v>
      </c>
      <c r="M43" s="197" t="s">
        <v>4000</v>
      </c>
      <c r="N43" s="128">
        <v>40.0</v>
      </c>
      <c r="O43" s="14" t="s">
        <v>167</v>
      </c>
    </row>
    <row r="44" ht="37.5" customHeight="1">
      <c r="A44" s="13"/>
      <c r="B44" s="14" t="s">
        <v>240</v>
      </c>
      <c r="C44" s="128">
        <v>29.0</v>
      </c>
      <c r="D44" s="14" t="s">
        <v>65</v>
      </c>
      <c r="E44" s="14" t="s">
        <v>16</v>
      </c>
      <c r="F44" s="128">
        <v>45.0</v>
      </c>
      <c r="G44" s="14" t="s">
        <v>2423</v>
      </c>
      <c r="H44" s="197" t="s">
        <v>2727</v>
      </c>
      <c r="I44" s="197" t="s">
        <v>3891</v>
      </c>
      <c r="J44" s="198" t="s">
        <v>4001</v>
      </c>
      <c r="K44" s="198" t="s">
        <v>3964</v>
      </c>
      <c r="L44" s="198" t="s">
        <v>1079</v>
      </c>
      <c r="M44" s="197" t="s">
        <v>4002</v>
      </c>
      <c r="N44" s="128">
        <v>41.0</v>
      </c>
      <c r="O44" s="14" t="s">
        <v>167</v>
      </c>
    </row>
    <row r="45" ht="37.5" customHeight="1">
      <c r="A45" s="13"/>
      <c r="B45" s="14" t="s">
        <v>216</v>
      </c>
      <c r="C45" s="128">
        <v>16.0</v>
      </c>
      <c r="D45" s="14" t="s">
        <v>89</v>
      </c>
      <c r="E45" s="14" t="s">
        <v>16</v>
      </c>
      <c r="F45" s="128">
        <v>35.0</v>
      </c>
      <c r="G45" s="14" t="s">
        <v>2597</v>
      </c>
      <c r="H45" s="197" t="s">
        <v>2727</v>
      </c>
      <c r="I45" s="197" t="s">
        <v>3891</v>
      </c>
      <c r="J45" s="198" t="s">
        <v>158</v>
      </c>
      <c r="K45" s="198" t="s">
        <v>4003</v>
      </c>
      <c r="L45" s="198" t="s">
        <v>3570</v>
      </c>
      <c r="M45" s="197" t="s">
        <v>4002</v>
      </c>
      <c r="N45" s="128">
        <v>42.0</v>
      </c>
      <c r="O45" s="14" t="s">
        <v>167</v>
      </c>
    </row>
    <row r="46" ht="37.5" customHeight="1">
      <c r="A46" s="13"/>
      <c r="B46" s="14" t="s">
        <v>201</v>
      </c>
      <c r="C46" s="128">
        <v>22.0</v>
      </c>
      <c r="D46" s="14" t="s">
        <v>73</v>
      </c>
      <c r="E46" s="14" t="s">
        <v>16</v>
      </c>
      <c r="F46" s="128">
        <v>32.0</v>
      </c>
      <c r="G46" s="14" t="s">
        <v>2423</v>
      </c>
      <c r="H46" s="197" t="s">
        <v>2727</v>
      </c>
      <c r="I46" s="197" t="s">
        <v>3891</v>
      </c>
      <c r="J46" s="198" t="s">
        <v>189</v>
      </c>
      <c r="K46" s="198" t="s">
        <v>4004</v>
      </c>
      <c r="L46" s="198" t="s">
        <v>1087</v>
      </c>
      <c r="M46" s="197" t="s">
        <v>4005</v>
      </c>
      <c r="N46" s="128">
        <v>43.0</v>
      </c>
      <c r="O46" s="14" t="s">
        <v>167</v>
      </c>
    </row>
    <row r="47" ht="37.5" customHeight="1">
      <c r="A47" s="13"/>
      <c r="B47" s="14" t="s">
        <v>246</v>
      </c>
      <c r="C47" s="128">
        <v>13.0</v>
      </c>
      <c r="D47" s="14" t="s">
        <v>73</v>
      </c>
      <c r="E47" s="14" t="s">
        <v>13</v>
      </c>
      <c r="F47" s="128">
        <v>30.0</v>
      </c>
      <c r="G47" s="14" t="s">
        <v>2597</v>
      </c>
      <c r="H47" s="197" t="s">
        <v>2727</v>
      </c>
      <c r="I47" s="197" t="s">
        <v>3760</v>
      </c>
      <c r="J47" s="198" t="s">
        <v>3510</v>
      </c>
      <c r="K47" s="198" t="s">
        <v>4006</v>
      </c>
      <c r="L47" s="198" t="s">
        <v>75</v>
      </c>
      <c r="M47" s="197" t="s">
        <v>3987</v>
      </c>
      <c r="N47" s="128">
        <v>44.0</v>
      </c>
      <c r="O47" s="14" t="s">
        <v>167</v>
      </c>
    </row>
    <row r="48" ht="37.5" customHeight="1">
      <c r="A48" s="13"/>
      <c r="B48" s="14" t="s">
        <v>212</v>
      </c>
      <c r="C48" s="128">
        <v>19.0</v>
      </c>
      <c r="D48" s="14" t="s">
        <v>65</v>
      </c>
      <c r="E48" s="14" t="s">
        <v>16</v>
      </c>
      <c r="F48" s="128">
        <v>45.0</v>
      </c>
      <c r="G48" s="14" t="s">
        <v>2423</v>
      </c>
      <c r="H48" s="197" t="s">
        <v>2727</v>
      </c>
      <c r="I48" s="197" t="s">
        <v>3891</v>
      </c>
      <c r="J48" s="198" t="s">
        <v>189</v>
      </c>
      <c r="K48" s="198" t="s">
        <v>4007</v>
      </c>
      <c r="L48" s="198" t="s">
        <v>1527</v>
      </c>
      <c r="M48" s="197" t="s">
        <v>4005</v>
      </c>
      <c r="N48" s="128">
        <v>45.0</v>
      </c>
      <c r="O48" s="14" t="s">
        <v>167</v>
      </c>
    </row>
    <row r="49" ht="37.5" customHeight="1">
      <c r="A49" s="13"/>
      <c r="B49" s="14" t="s">
        <v>239</v>
      </c>
      <c r="C49" s="128">
        <v>29.0</v>
      </c>
      <c r="D49" s="14" t="s">
        <v>89</v>
      </c>
      <c r="E49" s="14" t="s">
        <v>16</v>
      </c>
      <c r="F49" s="128">
        <v>38.0</v>
      </c>
      <c r="G49" s="14" t="s">
        <v>2423</v>
      </c>
      <c r="H49" s="197" t="s">
        <v>2727</v>
      </c>
      <c r="I49" s="197" t="s">
        <v>3891</v>
      </c>
      <c r="J49" s="198" t="s">
        <v>199</v>
      </c>
      <c r="K49" s="198" t="s">
        <v>141</v>
      </c>
      <c r="L49" s="198" t="s">
        <v>895</v>
      </c>
      <c r="M49" s="197" t="s">
        <v>4005</v>
      </c>
      <c r="N49" s="128">
        <v>46.0</v>
      </c>
      <c r="O49" s="14" t="s">
        <v>167</v>
      </c>
    </row>
    <row r="50" ht="37.5" customHeight="1">
      <c r="A50" s="13"/>
      <c r="B50" s="14" t="s">
        <v>254</v>
      </c>
      <c r="C50" s="128">
        <v>29.0</v>
      </c>
      <c r="D50" s="14" t="s">
        <v>73</v>
      </c>
      <c r="E50" s="14" t="s">
        <v>13</v>
      </c>
      <c r="F50" s="128">
        <v>36.0</v>
      </c>
      <c r="G50" s="14" t="s">
        <v>2423</v>
      </c>
      <c r="H50" s="197" t="s">
        <v>2727</v>
      </c>
      <c r="I50" s="197" t="s">
        <v>3760</v>
      </c>
      <c r="J50" s="198" t="s">
        <v>146</v>
      </c>
      <c r="K50" s="198" t="s">
        <v>4008</v>
      </c>
      <c r="L50" s="198" t="s">
        <v>1083</v>
      </c>
      <c r="M50" s="197" t="s">
        <v>4009</v>
      </c>
      <c r="N50" s="128">
        <v>47.0</v>
      </c>
      <c r="O50" s="14" t="s">
        <v>423</v>
      </c>
    </row>
    <row r="51" ht="37.5" customHeight="1">
      <c r="A51" s="13"/>
      <c r="B51" s="14" t="s">
        <v>242</v>
      </c>
      <c r="C51" s="128">
        <v>22.0</v>
      </c>
      <c r="D51" s="14" t="s">
        <v>94</v>
      </c>
      <c r="E51" s="14" t="s">
        <v>14</v>
      </c>
      <c r="F51" s="128">
        <v>42.0</v>
      </c>
      <c r="G51" s="14" t="s">
        <v>2597</v>
      </c>
      <c r="H51" s="197" t="s">
        <v>2727</v>
      </c>
      <c r="I51" s="197" t="s">
        <v>3735</v>
      </c>
      <c r="J51" s="198" t="s">
        <v>3618</v>
      </c>
      <c r="K51" s="198" t="s">
        <v>4010</v>
      </c>
      <c r="L51" s="198" t="s">
        <v>1085</v>
      </c>
      <c r="M51" s="197" t="s">
        <v>4011</v>
      </c>
      <c r="N51" s="128">
        <v>48.0</v>
      </c>
      <c r="O51" s="14" t="s">
        <v>423</v>
      </c>
    </row>
    <row r="52" ht="37.5" customHeight="1">
      <c r="A52" s="13"/>
      <c r="B52" s="14" t="s">
        <v>260</v>
      </c>
      <c r="C52" s="128">
        <v>29.0</v>
      </c>
      <c r="D52" s="14" t="s">
        <v>65</v>
      </c>
      <c r="E52" s="14" t="s">
        <v>13</v>
      </c>
      <c r="F52" s="128">
        <v>50.0</v>
      </c>
      <c r="G52" s="14" t="s">
        <v>2423</v>
      </c>
      <c r="H52" s="197" t="s">
        <v>2727</v>
      </c>
      <c r="I52" s="197" t="s">
        <v>3760</v>
      </c>
      <c r="J52" s="198" t="s">
        <v>297</v>
      </c>
      <c r="K52" s="198" t="s">
        <v>4012</v>
      </c>
      <c r="L52" s="198" t="s">
        <v>75</v>
      </c>
      <c r="M52" s="197" t="s">
        <v>4013</v>
      </c>
      <c r="N52" s="128">
        <v>49.0</v>
      </c>
      <c r="O52" s="14" t="s">
        <v>423</v>
      </c>
    </row>
    <row r="53" ht="37.5" customHeight="1">
      <c r="A53" s="13"/>
      <c r="B53" s="14" t="s">
        <v>257</v>
      </c>
      <c r="C53" s="128">
        <v>17.0</v>
      </c>
      <c r="D53" s="128" t="s">
        <v>65</v>
      </c>
      <c r="E53" s="14" t="s">
        <v>13</v>
      </c>
      <c r="F53" s="128">
        <v>35.0</v>
      </c>
      <c r="G53" s="14" t="s">
        <v>2597</v>
      </c>
      <c r="H53" s="197" t="s">
        <v>2727</v>
      </c>
      <c r="I53" s="197" t="s">
        <v>3760</v>
      </c>
      <c r="J53" s="198" t="s">
        <v>4014</v>
      </c>
      <c r="K53" s="198" t="s">
        <v>4015</v>
      </c>
      <c r="L53" s="198" t="s">
        <v>1073</v>
      </c>
      <c r="M53" s="197" t="s">
        <v>3993</v>
      </c>
      <c r="N53" s="128">
        <v>50.0</v>
      </c>
      <c r="O53" s="14" t="s">
        <v>423</v>
      </c>
    </row>
    <row r="54" ht="37.5" customHeight="1">
      <c r="A54" s="13"/>
      <c r="B54" s="14" t="s">
        <v>237</v>
      </c>
      <c r="C54" s="128">
        <v>29.0</v>
      </c>
      <c r="D54" s="14" t="s">
        <v>65</v>
      </c>
      <c r="E54" s="14" t="s">
        <v>13</v>
      </c>
      <c r="F54" s="128">
        <v>41.0</v>
      </c>
      <c r="G54" s="14" t="s">
        <v>2423</v>
      </c>
      <c r="H54" s="197" t="s">
        <v>2727</v>
      </c>
      <c r="I54" s="197" t="s">
        <v>3760</v>
      </c>
      <c r="J54" s="198" t="s">
        <v>962</v>
      </c>
      <c r="K54" s="198" t="s">
        <v>4016</v>
      </c>
      <c r="L54" s="198" t="s">
        <v>425</v>
      </c>
      <c r="M54" s="197" t="s">
        <v>4017</v>
      </c>
      <c r="N54" s="128">
        <v>51.0</v>
      </c>
      <c r="O54" s="14" t="s">
        <v>423</v>
      </c>
    </row>
    <row r="55" ht="37.5" customHeight="1">
      <c r="A55" s="13"/>
      <c r="B55" s="14" t="s">
        <v>261</v>
      </c>
      <c r="C55" s="128">
        <v>29.0</v>
      </c>
      <c r="D55" s="14" t="s">
        <v>94</v>
      </c>
      <c r="E55" s="14" t="s">
        <v>13</v>
      </c>
      <c r="F55" s="128">
        <v>50.0</v>
      </c>
      <c r="G55" s="14" t="s">
        <v>2423</v>
      </c>
      <c r="H55" s="197" t="s">
        <v>2727</v>
      </c>
      <c r="I55" s="197" t="s">
        <v>3760</v>
      </c>
      <c r="J55" s="198" t="s">
        <v>4018</v>
      </c>
      <c r="K55" s="198" t="s">
        <v>4019</v>
      </c>
      <c r="L55" s="198" t="s">
        <v>2754</v>
      </c>
      <c r="M55" s="197" t="s">
        <v>4020</v>
      </c>
      <c r="N55" s="128">
        <v>52.0</v>
      </c>
      <c r="O55" s="14" t="s">
        <v>423</v>
      </c>
    </row>
    <row r="56" ht="37.5" customHeight="1">
      <c r="A56" s="13"/>
      <c r="B56" s="14" t="s">
        <v>236</v>
      </c>
      <c r="C56" s="128">
        <v>15.0</v>
      </c>
      <c r="D56" s="14" t="s">
        <v>89</v>
      </c>
      <c r="E56" s="14" t="s">
        <v>13</v>
      </c>
      <c r="F56" s="128">
        <v>32.0</v>
      </c>
      <c r="G56" s="14" t="s">
        <v>2597</v>
      </c>
      <c r="H56" s="197" t="s">
        <v>2727</v>
      </c>
      <c r="I56" s="197" t="s">
        <v>3760</v>
      </c>
      <c r="J56" s="198" t="s">
        <v>90</v>
      </c>
      <c r="K56" s="198" t="s">
        <v>4021</v>
      </c>
      <c r="L56" s="198" t="s">
        <v>75</v>
      </c>
      <c r="M56" s="197" t="s">
        <v>4022</v>
      </c>
      <c r="N56" s="128">
        <v>53.0</v>
      </c>
      <c r="O56" s="14" t="s">
        <v>423</v>
      </c>
    </row>
    <row r="57" ht="37.5" customHeight="1">
      <c r="A57" s="13"/>
      <c r="B57" s="14" t="s">
        <v>245</v>
      </c>
      <c r="C57" s="128">
        <v>11.0</v>
      </c>
      <c r="D57" s="14" t="s">
        <v>73</v>
      </c>
      <c r="E57" s="14" t="s">
        <v>14</v>
      </c>
      <c r="F57" s="128">
        <v>33.0</v>
      </c>
      <c r="G57" s="14" t="s">
        <v>2597</v>
      </c>
      <c r="H57" s="197" t="s">
        <v>2727</v>
      </c>
      <c r="I57" s="197" t="s">
        <v>3735</v>
      </c>
      <c r="J57" s="198" t="s">
        <v>90</v>
      </c>
      <c r="K57" s="198" t="s">
        <v>269</v>
      </c>
      <c r="L57" s="198" t="s">
        <v>75</v>
      </c>
      <c r="M57" s="197" t="s">
        <v>4023</v>
      </c>
      <c r="N57" s="128">
        <v>54.0</v>
      </c>
      <c r="O57" s="14" t="s">
        <v>447</v>
      </c>
    </row>
    <row r="58" ht="37.5" customHeight="1">
      <c r="A58" s="13"/>
      <c r="B58" s="14" t="s">
        <v>259</v>
      </c>
      <c r="C58" s="128">
        <v>4.0</v>
      </c>
      <c r="D58" s="14" t="s">
        <v>89</v>
      </c>
      <c r="E58" s="14" t="s">
        <v>13</v>
      </c>
      <c r="F58" s="128">
        <v>32.0</v>
      </c>
      <c r="G58" s="14" t="s">
        <v>2597</v>
      </c>
      <c r="H58" s="197" t="s">
        <v>4024</v>
      </c>
      <c r="I58" s="197" t="s">
        <v>3760</v>
      </c>
      <c r="J58" s="198" t="s">
        <v>125</v>
      </c>
      <c r="K58" s="198" t="s">
        <v>158</v>
      </c>
      <c r="L58" s="198" t="s">
        <v>75</v>
      </c>
      <c r="M58" s="197" t="s">
        <v>4025</v>
      </c>
      <c r="N58" s="128">
        <v>55.0</v>
      </c>
      <c r="O58" s="14" t="s">
        <v>447</v>
      </c>
    </row>
    <row r="59" ht="37.5" customHeight="1">
      <c r="A59" s="13"/>
      <c r="B59" s="14" t="s">
        <v>1290</v>
      </c>
      <c r="C59" s="128">
        <v>24.0</v>
      </c>
      <c r="D59" s="14" t="s">
        <v>73</v>
      </c>
      <c r="E59" s="14" t="s">
        <v>13</v>
      </c>
      <c r="F59" s="128">
        <v>38.0</v>
      </c>
      <c r="G59" s="14" t="s">
        <v>2423</v>
      </c>
      <c r="H59" s="197" t="s">
        <v>2727</v>
      </c>
      <c r="I59" s="197" t="s">
        <v>3760</v>
      </c>
      <c r="J59" s="198" t="s">
        <v>196</v>
      </c>
      <c r="K59" s="198" t="s">
        <v>1584</v>
      </c>
      <c r="L59" s="198" t="s">
        <v>1509</v>
      </c>
      <c r="M59" s="197" t="s">
        <v>4026</v>
      </c>
      <c r="N59" s="128">
        <v>56.0</v>
      </c>
      <c r="O59" s="14" t="s">
        <v>447</v>
      </c>
    </row>
  </sheetData>
  <autoFilter ref="$A$2:$O$59">
    <sortState ref="A2:O59">
      <sortCondition ref="N2:N59"/>
      <sortCondition ref="B2:B59"/>
    </sortState>
  </autoFilter>
  <mergeCells count="4">
    <mergeCell ref="A1:B1"/>
    <mergeCell ref="C1:G1"/>
    <mergeCell ref="H1:L1"/>
    <mergeCell ref="M1:O1"/>
  </mergeCells>
  <conditionalFormatting sqref="O3:O59">
    <cfRule type="cellIs" dxfId="3" priority="1" operator="equal">
      <formula>"F"</formula>
    </cfRule>
  </conditionalFormatting>
  <conditionalFormatting sqref="O3:O59">
    <cfRule type="cellIs" dxfId="4" priority="2" operator="equal">
      <formula>"E"</formula>
    </cfRule>
  </conditionalFormatting>
  <conditionalFormatting sqref="N3:O59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59">
    <cfRule type="cellIs" dxfId="13" priority="4" operator="equal">
      <formula>"Solar"</formula>
    </cfRule>
  </conditionalFormatting>
  <conditionalFormatting sqref="D3:D59">
    <cfRule type="cellIs" dxfId="20" priority="5" operator="equal">
      <formula>"Arc"</formula>
    </cfRule>
  </conditionalFormatting>
  <conditionalFormatting sqref="D3:D59">
    <cfRule type="cellIs" dxfId="21" priority="6" operator="equal">
      <formula>"Stasis"</formula>
    </cfRule>
  </conditionalFormatting>
  <conditionalFormatting sqref="D3:D59">
    <cfRule type="cellIs" dxfId="18" priority="7" operator="equal">
      <formula>"Void"</formula>
    </cfRule>
  </conditionalFormatting>
  <conditionalFormatting sqref="D3:D59">
    <cfRule type="cellIs" dxfId="17" priority="8" operator="equal">
      <formula>"Strand"</formula>
    </cfRule>
  </conditionalFormatting>
  <conditionalFormatting sqref="G3:G59">
    <cfRule type="cellIs" dxfId="17" priority="9" operator="equal">
      <formula>"Yes"</formula>
    </cfRule>
  </conditionalFormatting>
  <conditionalFormatting sqref="G3:G59">
    <cfRule type="cellIs" dxfId="2" priority="10" operator="equal">
      <formula>"No"</formula>
    </cfRule>
  </conditionalFormatting>
  <conditionalFormatting sqref="O3:O59">
    <cfRule type="cellIs" dxfId="5" priority="11" operator="equal">
      <formula>"S"</formula>
    </cfRule>
  </conditionalFormatting>
  <conditionalFormatting sqref="O3:O59">
    <cfRule type="cellIs" dxfId="6" priority="12" operator="equal">
      <formula>"B"</formula>
    </cfRule>
  </conditionalFormatting>
  <conditionalFormatting sqref="O3:O59">
    <cfRule type="cellIs" dxfId="7" priority="13" operator="equal">
      <formula>"D"</formula>
    </cfRule>
  </conditionalFormatting>
  <conditionalFormatting sqref="O3:O59">
    <cfRule type="cellIs" dxfId="8" priority="14" operator="equal">
      <formula>"C"</formula>
    </cfRule>
  </conditionalFormatting>
  <conditionalFormatting sqref="O3:O59">
    <cfRule type="cellIs" dxfId="9" priority="15" operator="equal">
      <formula>"A"</formula>
    </cfRule>
  </conditionalFormatting>
  <conditionalFormatting sqref="D3:D59">
    <cfRule type="cellIs" dxfId="19" priority="16" operator="equal">
      <formula>"Kinetic"</formula>
    </cfRule>
  </conditionalFormatting>
  <conditionalFormatting sqref="F3:F59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59">
    <cfRule type="expression" dxfId="12" priority="18">
      <formula>$C3=MAX($C$4:$C59)</formula>
    </cfRule>
  </conditionalFormatting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18.88"/>
    <col customWidth="1" min="6" max="6" width="20.75"/>
    <col customWidth="1" min="7" max="7" width="18.88"/>
    <col customWidth="1" min="8" max="8" width="23.13"/>
    <col customWidth="1" min="9" max="9" width="8.13"/>
    <col customWidth="1" min="10" max="10" width="7.5"/>
    <col customWidth="1" min="11" max="11" width="6.63"/>
  </cols>
  <sheetData>
    <row r="1" ht="15.0" customHeight="1">
      <c r="A1" s="5" t="s">
        <v>47</v>
      </c>
      <c r="C1" s="6" t="s">
        <v>48</v>
      </c>
      <c r="E1" s="8" t="s">
        <v>181</v>
      </c>
      <c r="J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0</v>
      </c>
      <c r="F2" s="11" t="s">
        <v>59</v>
      </c>
      <c r="G2" s="11" t="s">
        <v>262</v>
      </c>
      <c r="H2" s="11" t="s">
        <v>60</v>
      </c>
      <c r="I2" s="11" t="s">
        <v>56</v>
      </c>
      <c r="J2" s="12" t="s">
        <v>62</v>
      </c>
      <c r="K2" s="12" t="s">
        <v>63</v>
      </c>
    </row>
    <row r="3" ht="37.5" customHeight="1">
      <c r="A3" s="13"/>
      <c r="B3" s="14" t="s">
        <v>3718</v>
      </c>
      <c r="C3" s="14" t="s">
        <v>13</v>
      </c>
      <c r="D3" s="14">
        <f t="shared" ref="D3:D9" si="1">IFS(C3="Adaptive",2,C3="Rapid",1,C3="Aggressive",0)</f>
        <v>2</v>
      </c>
      <c r="E3" s="14"/>
      <c r="F3" s="14" t="s">
        <v>4027</v>
      </c>
      <c r="G3" s="14"/>
      <c r="H3" s="14" t="s">
        <v>4028</v>
      </c>
      <c r="I3" s="14">
        <f>2+2+2+1+3</f>
        <v>10</v>
      </c>
      <c r="J3" s="13">
        <f t="shared" ref="J3:J9" si="2">SUM(D3,I3)</f>
        <v>12</v>
      </c>
      <c r="K3" s="14" t="s">
        <v>71</v>
      </c>
    </row>
    <row r="4" ht="37.5" customHeight="1">
      <c r="A4" s="13"/>
      <c r="B4" s="14" t="s">
        <v>663</v>
      </c>
      <c r="C4" s="14" t="s">
        <v>14</v>
      </c>
      <c r="D4" s="14">
        <f t="shared" si="1"/>
        <v>1</v>
      </c>
      <c r="E4" s="14" t="s">
        <v>90</v>
      </c>
      <c r="F4" s="14" t="s">
        <v>4029</v>
      </c>
      <c r="G4" s="14" t="s">
        <v>1609</v>
      </c>
      <c r="H4" s="14" t="s">
        <v>4030</v>
      </c>
      <c r="I4" s="13">
        <f>0.5+1+2+2+3+1</f>
        <v>9.5</v>
      </c>
      <c r="J4" s="13">
        <f t="shared" si="2"/>
        <v>10.5</v>
      </c>
      <c r="K4" s="14" t="s">
        <v>92</v>
      </c>
    </row>
    <row r="5" ht="37.5" customHeight="1">
      <c r="A5" s="13"/>
      <c r="B5" s="14" t="s">
        <v>3708</v>
      </c>
      <c r="C5" s="14" t="s">
        <v>13</v>
      </c>
      <c r="D5" s="14">
        <f t="shared" si="1"/>
        <v>2</v>
      </c>
      <c r="E5" s="14"/>
      <c r="F5" s="14" t="s">
        <v>1019</v>
      </c>
      <c r="G5" s="14" t="s">
        <v>1609</v>
      </c>
      <c r="H5" s="14" t="s">
        <v>1636</v>
      </c>
      <c r="I5" s="14">
        <f>2+2+3</f>
        <v>7</v>
      </c>
      <c r="J5" s="13">
        <f t="shared" si="2"/>
        <v>9</v>
      </c>
      <c r="K5" s="14" t="s">
        <v>92</v>
      </c>
    </row>
    <row r="6" ht="37.5" customHeight="1">
      <c r="A6" s="13"/>
      <c r="B6" s="14" t="s">
        <v>2040</v>
      </c>
      <c r="C6" s="14" t="s">
        <v>13</v>
      </c>
      <c r="D6" s="14">
        <f t="shared" si="1"/>
        <v>2</v>
      </c>
      <c r="E6" s="14"/>
      <c r="F6" s="14" t="s">
        <v>4031</v>
      </c>
      <c r="G6" s="14" t="s">
        <v>349</v>
      </c>
      <c r="H6" s="14" t="s">
        <v>4032</v>
      </c>
      <c r="I6" s="13">
        <f>1+2+1+2+1</f>
        <v>7</v>
      </c>
      <c r="J6" s="13">
        <f t="shared" si="2"/>
        <v>9</v>
      </c>
      <c r="K6" s="14" t="s">
        <v>92</v>
      </c>
    </row>
    <row r="7" ht="37.5" customHeight="1">
      <c r="A7" s="13"/>
      <c r="B7" s="14" t="s">
        <v>2049</v>
      </c>
      <c r="C7" s="14" t="s">
        <v>16</v>
      </c>
      <c r="D7" s="14">
        <f t="shared" si="1"/>
        <v>0</v>
      </c>
      <c r="E7" s="14"/>
      <c r="F7" s="14" t="s">
        <v>4033</v>
      </c>
      <c r="G7" s="14" t="s">
        <v>4034</v>
      </c>
      <c r="H7" s="14" t="s">
        <v>4030</v>
      </c>
      <c r="I7" s="14">
        <f>1+2+1+3+1</f>
        <v>8</v>
      </c>
      <c r="J7" s="13">
        <f t="shared" si="2"/>
        <v>8</v>
      </c>
      <c r="K7" s="14" t="s">
        <v>120</v>
      </c>
    </row>
    <row r="8" ht="37.5" customHeight="1">
      <c r="A8" s="13"/>
      <c r="B8" s="14" t="s">
        <v>3701</v>
      </c>
      <c r="C8" s="14" t="s">
        <v>13</v>
      </c>
      <c r="D8" s="14">
        <f t="shared" si="1"/>
        <v>2</v>
      </c>
      <c r="E8" s="14"/>
      <c r="F8" s="14" t="s">
        <v>76</v>
      </c>
      <c r="G8" s="14" t="s">
        <v>4035</v>
      </c>
      <c r="H8" s="14" t="s">
        <v>1049</v>
      </c>
      <c r="I8" s="14">
        <f>2+2+1+1</f>
        <v>6</v>
      </c>
      <c r="J8" s="13">
        <f t="shared" si="2"/>
        <v>8</v>
      </c>
      <c r="K8" s="14" t="s">
        <v>120</v>
      </c>
    </row>
    <row r="9" ht="37.5" customHeight="1">
      <c r="A9" s="13"/>
      <c r="B9" s="14" t="s">
        <v>3705</v>
      </c>
      <c r="C9" s="14" t="s">
        <v>13</v>
      </c>
      <c r="D9" s="14">
        <f t="shared" si="1"/>
        <v>2</v>
      </c>
      <c r="E9" s="14" t="s">
        <v>90</v>
      </c>
      <c r="F9" s="14" t="s">
        <v>4033</v>
      </c>
      <c r="G9" s="14" t="s">
        <v>269</v>
      </c>
      <c r="H9" s="14" t="s">
        <v>4032</v>
      </c>
      <c r="I9" s="13">
        <f>0.5+1+1+1+1</f>
        <v>4.5</v>
      </c>
      <c r="J9" s="13">
        <f t="shared" si="2"/>
        <v>6.5</v>
      </c>
      <c r="K9" s="14" t="s">
        <v>136</v>
      </c>
    </row>
  </sheetData>
  <autoFilter ref="$A$2:$K$9">
    <sortState ref="A2:K9">
      <sortCondition descending="1" ref="J2:J9"/>
      <sortCondition ref="B2:B9"/>
      <sortCondition descending="1" ref="K2:K9"/>
      <sortCondition descending="1" ref="I2:I9"/>
    </sortState>
  </autoFilter>
  <mergeCells count="4">
    <mergeCell ref="A1:B1"/>
    <mergeCell ref="C1:D1"/>
    <mergeCell ref="E1:I1"/>
    <mergeCell ref="J1:K1"/>
  </mergeCells>
  <conditionalFormatting sqref="J3:K9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6" width="18.88"/>
    <col customWidth="1" min="7" max="7" width="23.13"/>
    <col customWidth="1" min="8" max="8" width="8.13"/>
    <col customWidth="1" min="9" max="9" width="7.5"/>
    <col customWidth="1" min="10" max="10" width="6.63"/>
  </cols>
  <sheetData>
    <row r="1" ht="15.0" customHeight="1">
      <c r="A1" s="5" t="s">
        <v>47</v>
      </c>
      <c r="C1" s="6" t="s">
        <v>48</v>
      </c>
      <c r="E1" s="8" t="s">
        <v>181</v>
      </c>
      <c r="I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0</v>
      </c>
      <c r="F2" s="11" t="s">
        <v>262</v>
      </c>
      <c r="G2" s="11" t="s">
        <v>60</v>
      </c>
      <c r="H2" s="11" t="s">
        <v>56</v>
      </c>
      <c r="I2" s="12" t="s">
        <v>62</v>
      </c>
      <c r="J2" s="12" t="s">
        <v>63</v>
      </c>
    </row>
    <row r="3" ht="37.5" customHeight="1">
      <c r="A3" s="13"/>
      <c r="B3" s="14" t="s">
        <v>2003</v>
      </c>
      <c r="C3" s="14" t="s">
        <v>13</v>
      </c>
      <c r="D3" s="14">
        <f t="shared" ref="D3:D23" si="1">IF(OR(C3="Adaptive",C3="Rapid"),1,0)</f>
        <v>1</v>
      </c>
      <c r="E3" s="14" t="s">
        <v>4036</v>
      </c>
      <c r="F3" s="14" t="s">
        <v>4037</v>
      </c>
      <c r="G3" s="14" t="s">
        <v>4038</v>
      </c>
      <c r="H3" s="13">
        <f>2+3+2+2+3</f>
        <v>12</v>
      </c>
      <c r="I3" s="13">
        <f t="shared" ref="I3:I23" si="2">SUM(D3,H3)</f>
        <v>13</v>
      </c>
      <c r="J3" s="14" t="s">
        <v>71</v>
      </c>
    </row>
    <row r="4" ht="37.5" customHeight="1">
      <c r="A4" s="13"/>
      <c r="B4" s="14" t="s">
        <v>1933</v>
      </c>
      <c r="C4" s="14" t="s">
        <v>13</v>
      </c>
      <c r="D4" s="14">
        <f t="shared" si="1"/>
        <v>1</v>
      </c>
      <c r="E4" s="14" t="s">
        <v>4039</v>
      </c>
      <c r="F4" s="14" t="s">
        <v>4040</v>
      </c>
      <c r="G4" s="14" t="s">
        <v>4041</v>
      </c>
      <c r="H4" s="13">
        <f>3+3+1+2+2</f>
        <v>11</v>
      </c>
      <c r="I4" s="13">
        <f t="shared" si="2"/>
        <v>12</v>
      </c>
      <c r="J4" s="14" t="s">
        <v>71</v>
      </c>
    </row>
    <row r="5" ht="37.5" customHeight="1">
      <c r="A5" s="13"/>
      <c r="B5" s="14" t="s">
        <v>645</v>
      </c>
      <c r="C5" s="14" t="s">
        <v>13</v>
      </c>
      <c r="D5" s="14">
        <f t="shared" si="1"/>
        <v>1</v>
      </c>
      <c r="E5" s="14" t="s">
        <v>4042</v>
      </c>
      <c r="F5" s="14" t="s">
        <v>1584</v>
      </c>
      <c r="G5" s="14" t="s">
        <v>4043</v>
      </c>
      <c r="H5" s="13">
        <f>1+2+3+3+2</f>
        <v>11</v>
      </c>
      <c r="I5" s="13">
        <f t="shared" si="2"/>
        <v>12</v>
      </c>
      <c r="J5" s="14" t="s">
        <v>71</v>
      </c>
    </row>
    <row r="6" ht="37.5" customHeight="1">
      <c r="A6" s="13"/>
      <c r="B6" s="14" t="s">
        <v>658</v>
      </c>
      <c r="C6" s="14" t="s">
        <v>264</v>
      </c>
      <c r="D6" s="14">
        <f t="shared" si="1"/>
        <v>0</v>
      </c>
      <c r="E6" s="14" t="s">
        <v>158</v>
      </c>
      <c r="F6" s="14" t="s">
        <v>4044</v>
      </c>
      <c r="G6" s="14" t="s">
        <v>4045</v>
      </c>
      <c r="H6" s="13">
        <f>1+3+1+2+2+2</f>
        <v>11</v>
      </c>
      <c r="I6" s="13">
        <f t="shared" si="2"/>
        <v>11</v>
      </c>
      <c r="J6" s="14" t="s">
        <v>92</v>
      </c>
    </row>
    <row r="7" ht="37.5" customHeight="1">
      <c r="A7" s="13"/>
      <c r="B7" s="14" t="s">
        <v>1248</v>
      </c>
      <c r="C7" s="14" t="s">
        <v>13</v>
      </c>
      <c r="D7" s="14">
        <f t="shared" si="1"/>
        <v>1</v>
      </c>
      <c r="E7" s="14" t="s">
        <v>4046</v>
      </c>
      <c r="F7" s="14" t="s">
        <v>1584</v>
      </c>
      <c r="G7" s="14" t="s">
        <v>4047</v>
      </c>
      <c r="H7" s="13">
        <f t="shared" ref="H7:H8" si="3">2+3+2+2</f>
        <v>9</v>
      </c>
      <c r="I7" s="13">
        <f t="shared" si="2"/>
        <v>10</v>
      </c>
      <c r="J7" s="14" t="s">
        <v>92</v>
      </c>
    </row>
    <row r="8" ht="37.5" customHeight="1">
      <c r="A8" s="13"/>
      <c r="B8" s="14" t="s">
        <v>833</v>
      </c>
      <c r="C8" s="14" t="s">
        <v>13</v>
      </c>
      <c r="D8" s="14">
        <f t="shared" si="1"/>
        <v>1</v>
      </c>
      <c r="E8" s="14" t="s">
        <v>4048</v>
      </c>
      <c r="F8" s="14" t="s">
        <v>4049</v>
      </c>
      <c r="G8" s="14" t="s">
        <v>4050</v>
      </c>
      <c r="H8" s="14">
        <f t="shared" si="3"/>
        <v>9</v>
      </c>
      <c r="I8" s="13">
        <f t="shared" si="2"/>
        <v>10</v>
      </c>
      <c r="J8" s="14" t="s">
        <v>92</v>
      </c>
    </row>
    <row r="9" ht="37.5" customHeight="1">
      <c r="A9" s="13"/>
      <c r="B9" s="14" t="s">
        <v>871</v>
      </c>
      <c r="C9" s="14" t="s">
        <v>264</v>
      </c>
      <c r="D9" s="14">
        <f t="shared" si="1"/>
        <v>0</v>
      </c>
      <c r="E9" s="14" t="s">
        <v>202</v>
      </c>
      <c r="F9" s="14" t="s">
        <v>4051</v>
      </c>
      <c r="G9" s="14" t="s">
        <v>4052</v>
      </c>
      <c r="H9" s="14">
        <f>1+2+2+2+2</f>
        <v>9</v>
      </c>
      <c r="I9" s="13">
        <f t="shared" si="2"/>
        <v>9</v>
      </c>
      <c r="J9" s="14" t="s">
        <v>92</v>
      </c>
    </row>
    <row r="10" ht="37.5" customHeight="1">
      <c r="A10" s="13"/>
      <c r="B10" s="14" t="s">
        <v>4053</v>
      </c>
      <c r="C10" s="14" t="s">
        <v>13</v>
      </c>
      <c r="D10" s="14">
        <f t="shared" si="1"/>
        <v>1</v>
      </c>
      <c r="E10" s="14" t="s">
        <v>4054</v>
      </c>
      <c r="F10" s="14" t="s">
        <v>269</v>
      </c>
      <c r="G10" s="14" t="s">
        <v>4055</v>
      </c>
      <c r="H10" s="14">
        <f>2+1+2+2</f>
        <v>7</v>
      </c>
      <c r="I10" s="13">
        <f t="shared" si="2"/>
        <v>8</v>
      </c>
      <c r="J10" s="14" t="s">
        <v>120</v>
      </c>
    </row>
    <row r="11" ht="37.5" customHeight="1">
      <c r="A11" s="13"/>
      <c r="B11" s="14" t="s">
        <v>1330</v>
      </c>
      <c r="C11" s="14" t="s">
        <v>13</v>
      </c>
      <c r="D11" s="14">
        <f t="shared" si="1"/>
        <v>1</v>
      </c>
      <c r="E11" s="14" t="s">
        <v>199</v>
      </c>
      <c r="F11" s="14" t="s">
        <v>4056</v>
      </c>
      <c r="G11" s="14" t="s">
        <v>4057</v>
      </c>
      <c r="H11" s="14">
        <f>1+1+2+1+2</f>
        <v>7</v>
      </c>
      <c r="I11" s="13">
        <f t="shared" si="2"/>
        <v>8</v>
      </c>
      <c r="J11" s="14" t="s">
        <v>120</v>
      </c>
    </row>
    <row r="12" ht="37.5" customHeight="1">
      <c r="A12" s="13"/>
      <c r="B12" s="14" t="s">
        <v>1334</v>
      </c>
      <c r="C12" s="14" t="s">
        <v>14</v>
      </c>
      <c r="D12" s="14">
        <f t="shared" si="1"/>
        <v>1</v>
      </c>
      <c r="E12" s="14" t="s">
        <v>4058</v>
      </c>
      <c r="F12" s="14" t="s">
        <v>75</v>
      </c>
      <c r="G12" s="14" t="s">
        <v>4059</v>
      </c>
      <c r="H12" s="14">
        <f>2+1+2+2</f>
        <v>7</v>
      </c>
      <c r="I12" s="13">
        <f t="shared" si="2"/>
        <v>8</v>
      </c>
      <c r="J12" s="14" t="s">
        <v>120</v>
      </c>
    </row>
    <row r="13" ht="37.5" customHeight="1">
      <c r="A13" s="13"/>
      <c r="B13" s="14" t="s">
        <v>2004</v>
      </c>
      <c r="C13" s="14" t="s">
        <v>264</v>
      </c>
      <c r="D13" s="14">
        <f t="shared" si="1"/>
        <v>0</v>
      </c>
      <c r="E13" s="14" t="s">
        <v>125</v>
      </c>
      <c r="F13" s="14" t="s">
        <v>1584</v>
      </c>
      <c r="G13" s="14" t="s">
        <v>4060</v>
      </c>
      <c r="H13" s="13">
        <f>1+3+3</f>
        <v>7</v>
      </c>
      <c r="I13" s="13">
        <f t="shared" si="2"/>
        <v>7</v>
      </c>
      <c r="J13" s="14" t="s">
        <v>120</v>
      </c>
    </row>
    <row r="14" ht="37.5" customHeight="1">
      <c r="A14" s="13"/>
      <c r="B14" s="14" t="s">
        <v>1336</v>
      </c>
      <c r="C14" s="14" t="s">
        <v>14</v>
      </c>
      <c r="D14" s="14">
        <f t="shared" si="1"/>
        <v>1</v>
      </c>
      <c r="E14" s="14" t="s">
        <v>4061</v>
      </c>
      <c r="F14" s="14" t="s">
        <v>75</v>
      </c>
      <c r="G14" s="14" t="s">
        <v>4062</v>
      </c>
      <c r="H14" s="13">
        <f>1+2+2+1</f>
        <v>6</v>
      </c>
      <c r="I14" s="13">
        <f t="shared" si="2"/>
        <v>7</v>
      </c>
      <c r="J14" s="14" t="s">
        <v>120</v>
      </c>
    </row>
    <row r="15" ht="37.5" customHeight="1">
      <c r="A15" s="13"/>
      <c r="B15" s="14" t="s">
        <v>1329</v>
      </c>
      <c r="C15" s="14" t="s">
        <v>13</v>
      </c>
      <c r="D15" s="14">
        <f t="shared" si="1"/>
        <v>1</v>
      </c>
      <c r="E15" s="14" t="s">
        <v>75</v>
      </c>
      <c r="F15" s="14" t="s">
        <v>269</v>
      </c>
      <c r="G15" s="14" t="s">
        <v>923</v>
      </c>
      <c r="H15" s="14">
        <f>3+2</f>
        <v>5</v>
      </c>
      <c r="I15" s="13">
        <f t="shared" si="2"/>
        <v>6</v>
      </c>
      <c r="J15" s="14" t="s">
        <v>136</v>
      </c>
    </row>
    <row r="16" ht="37.5" customHeight="1">
      <c r="A16" s="13"/>
      <c r="B16" s="14" t="s">
        <v>1333</v>
      </c>
      <c r="C16" s="14" t="s">
        <v>14</v>
      </c>
      <c r="D16" s="14">
        <f t="shared" si="1"/>
        <v>1</v>
      </c>
      <c r="E16" s="14" t="s">
        <v>4063</v>
      </c>
      <c r="F16" s="14" t="s">
        <v>986</v>
      </c>
      <c r="G16" s="14" t="s">
        <v>4064</v>
      </c>
      <c r="H16" s="13">
        <f t="shared" ref="H16:H17" si="4">1+2+2</f>
        <v>5</v>
      </c>
      <c r="I16" s="13">
        <f t="shared" si="2"/>
        <v>6</v>
      </c>
      <c r="J16" s="14" t="s">
        <v>136</v>
      </c>
    </row>
    <row r="17" ht="37.5" customHeight="1">
      <c r="A17" s="13"/>
      <c r="B17" s="14" t="s">
        <v>1338</v>
      </c>
      <c r="C17" s="14" t="s">
        <v>14</v>
      </c>
      <c r="D17" s="14">
        <f t="shared" si="1"/>
        <v>1</v>
      </c>
      <c r="E17" s="14" t="s">
        <v>125</v>
      </c>
      <c r="F17" s="14" t="s">
        <v>4065</v>
      </c>
      <c r="G17" s="14" t="s">
        <v>75</v>
      </c>
      <c r="H17" s="13">
        <f t="shared" si="4"/>
        <v>5</v>
      </c>
      <c r="I17" s="13">
        <f t="shared" si="2"/>
        <v>6</v>
      </c>
      <c r="J17" s="14" t="s">
        <v>136</v>
      </c>
    </row>
    <row r="18" ht="37.5" customHeight="1">
      <c r="A18" s="13"/>
      <c r="B18" s="14" t="s">
        <v>1332</v>
      </c>
      <c r="C18" s="14" t="s">
        <v>264</v>
      </c>
      <c r="D18" s="14">
        <f t="shared" si="1"/>
        <v>0</v>
      </c>
      <c r="E18" s="14" t="s">
        <v>75</v>
      </c>
      <c r="F18" s="14" t="s">
        <v>4066</v>
      </c>
      <c r="G18" s="14" t="s">
        <v>4067</v>
      </c>
      <c r="H18" s="14">
        <f>2+1+3-1</f>
        <v>5</v>
      </c>
      <c r="I18" s="13">
        <f t="shared" si="2"/>
        <v>5</v>
      </c>
      <c r="J18" s="14" t="s">
        <v>136</v>
      </c>
    </row>
    <row r="19" ht="37.5" customHeight="1">
      <c r="A19" s="14"/>
      <c r="B19" s="14" t="s">
        <v>1246</v>
      </c>
      <c r="C19" s="14" t="s">
        <v>264</v>
      </c>
      <c r="D19" s="14">
        <f t="shared" si="1"/>
        <v>0</v>
      </c>
      <c r="E19" s="14" t="s">
        <v>4061</v>
      </c>
      <c r="F19" s="14" t="s">
        <v>75</v>
      </c>
      <c r="G19" s="14" t="s">
        <v>347</v>
      </c>
      <c r="H19" s="13">
        <f t="shared" ref="H19:H20" si="5">1+2+1</f>
        <v>4</v>
      </c>
      <c r="I19" s="13">
        <f t="shared" si="2"/>
        <v>4</v>
      </c>
      <c r="J19" s="14" t="s">
        <v>167</v>
      </c>
    </row>
    <row r="20" ht="37.5" customHeight="1">
      <c r="A20" s="13"/>
      <c r="B20" s="14" t="s">
        <v>1335</v>
      </c>
      <c r="C20" s="14" t="s">
        <v>264</v>
      </c>
      <c r="D20" s="14">
        <f t="shared" si="1"/>
        <v>0</v>
      </c>
      <c r="E20" s="14" t="s">
        <v>4068</v>
      </c>
      <c r="F20" s="14" t="s">
        <v>75</v>
      </c>
      <c r="G20" s="14" t="s">
        <v>190</v>
      </c>
      <c r="H20" s="13">
        <f t="shared" si="5"/>
        <v>4</v>
      </c>
      <c r="I20" s="13">
        <f t="shared" si="2"/>
        <v>4</v>
      </c>
      <c r="J20" s="14" t="s">
        <v>167</v>
      </c>
    </row>
    <row r="21" ht="37.5" customHeight="1">
      <c r="A21" s="13"/>
      <c r="B21" s="14" t="s">
        <v>1337</v>
      </c>
      <c r="C21" s="14" t="s">
        <v>264</v>
      </c>
      <c r="D21" s="14">
        <f t="shared" si="1"/>
        <v>0</v>
      </c>
      <c r="E21" s="14" t="s">
        <v>75</v>
      </c>
      <c r="F21" s="14" t="s">
        <v>1012</v>
      </c>
      <c r="G21" s="14" t="s">
        <v>4069</v>
      </c>
      <c r="H21" s="13">
        <f>1+2+2-1</f>
        <v>4</v>
      </c>
      <c r="I21" s="13">
        <f t="shared" si="2"/>
        <v>4</v>
      </c>
      <c r="J21" s="14" t="s">
        <v>167</v>
      </c>
    </row>
    <row r="22" ht="37.5" customHeight="1">
      <c r="A22" s="13"/>
      <c r="B22" s="14" t="s">
        <v>1331</v>
      </c>
      <c r="C22" s="14" t="s">
        <v>14</v>
      </c>
      <c r="D22" s="14">
        <f t="shared" si="1"/>
        <v>1</v>
      </c>
      <c r="E22" s="14" t="s">
        <v>75</v>
      </c>
      <c r="F22" s="14" t="s">
        <v>75</v>
      </c>
      <c r="G22" s="14" t="s">
        <v>4070</v>
      </c>
      <c r="H22" s="14">
        <f>2+1-1</f>
        <v>2</v>
      </c>
      <c r="I22" s="13">
        <f t="shared" si="2"/>
        <v>3</v>
      </c>
      <c r="J22" s="14" t="s">
        <v>167</v>
      </c>
    </row>
    <row r="23" ht="37.5" customHeight="1">
      <c r="A23" s="13"/>
      <c r="B23" s="14" t="s">
        <v>874</v>
      </c>
      <c r="C23" s="14" t="s">
        <v>14</v>
      </c>
      <c r="D23" s="14">
        <f t="shared" si="1"/>
        <v>1</v>
      </c>
      <c r="E23" s="14" t="s">
        <v>75</v>
      </c>
      <c r="F23" s="14" t="s">
        <v>1012</v>
      </c>
      <c r="G23" s="14" t="s">
        <v>4071</v>
      </c>
      <c r="H23" s="13">
        <f>1+2-1</f>
        <v>2</v>
      </c>
      <c r="I23" s="13">
        <f t="shared" si="2"/>
        <v>3</v>
      </c>
      <c r="J23" s="14" t="s">
        <v>167</v>
      </c>
    </row>
  </sheetData>
  <autoFilter ref="$A$2:$J$23">
    <sortState ref="A2:J23">
      <sortCondition descending="1" ref="I2:I23"/>
      <sortCondition ref="B2:B23"/>
      <sortCondition descending="1" ref="J2:J23"/>
      <sortCondition descending="1" ref="H2:H23"/>
    </sortState>
  </autoFilter>
  <mergeCells count="4">
    <mergeCell ref="A1:B1"/>
    <mergeCell ref="C1:D1"/>
    <mergeCell ref="E1:H1"/>
    <mergeCell ref="I1:J1"/>
  </mergeCells>
  <conditionalFormatting sqref="I3:J2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20.25"/>
    <col customWidth="1" min="6" max="6" width="23.13"/>
    <col customWidth="1" min="7" max="7" width="8.13"/>
    <col customWidth="1" min="8" max="8" width="7.5"/>
    <col customWidth="1" min="9" max="9" width="6.63"/>
  </cols>
  <sheetData>
    <row r="1" ht="15.0" customHeight="1">
      <c r="A1" s="5" t="s">
        <v>47</v>
      </c>
      <c r="C1" s="6" t="s">
        <v>48</v>
      </c>
      <c r="E1" s="8" t="s">
        <v>181</v>
      </c>
      <c r="H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0</v>
      </c>
      <c r="F2" s="11" t="s">
        <v>60</v>
      </c>
      <c r="G2" s="11" t="s">
        <v>56</v>
      </c>
      <c r="H2" s="12" t="s">
        <v>62</v>
      </c>
      <c r="I2" s="12" t="s">
        <v>63</v>
      </c>
    </row>
    <row r="3" ht="37.5" customHeight="1">
      <c r="A3" s="13"/>
      <c r="B3" s="14" t="s">
        <v>437</v>
      </c>
      <c r="C3" s="14" t="s">
        <v>13</v>
      </c>
      <c r="D3" s="14">
        <f t="shared" ref="D3:D10" si="1">IF(C3="Adaptive",1,0)</f>
        <v>1</v>
      </c>
      <c r="E3" s="14" t="s">
        <v>4072</v>
      </c>
      <c r="F3" s="14" t="s">
        <v>4073</v>
      </c>
      <c r="G3" s="14">
        <f>3+2+2+1+3+2+3+1</f>
        <v>17</v>
      </c>
      <c r="H3" s="13">
        <f t="shared" ref="H3:H20" si="2">SUM(D3,G3)</f>
        <v>18</v>
      </c>
      <c r="I3" s="14" t="s">
        <v>71</v>
      </c>
    </row>
    <row r="4" ht="37.5" customHeight="1">
      <c r="A4" s="13"/>
      <c r="B4" s="14" t="s">
        <v>1207</v>
      </c>
      <c r="C4" s="14" t="s">
        <v>13</v>
      </c>
      <c r="D4" s="14">
        <f t="shared" si="1"/>
        <v>1</v>
      </c>
      <c r="E4" s="14" t="s">
        <v>4074</v>
      </c>
      <c r="F4" s="14" t="s">
        <v>4075</v>
      </c>
      <c r="G4" s="13">
        <f>2+2+1+2+1+3</f>
        <v>11</v>
      </c>
      <c r="H4" s="13">
        <f t="shared" si="2"/>
        <v>12</v>
      </c>
      <c r="I4" s="14" t="s">
        <v>92</v>
      </c>
    </row>
    <row r="5" ht="37.5" customHeight="1">
      <c r="A5" s="13"/>
      <c r="B5" s="14" t="s">
        <v>1205</v>
      </c>
      <c r="C5" s="14" t="s">
        <v>14</v>
      </c>
      <c r="D5" s="14">
        <f t="shared" si="1"/>
        <v>0</v>
      </c>
      <c r="E5" s="14" t="s">
        <v>4076</v>
      </c>
      <c r="F5" s="14" t="s">
        <v>4077</v>
      </c>
      <c r="G5" s="13">
        <f>2+3+1+2+3</f>
        <v>11</v>
      </c>
      <c r="H5" s="13">
        <f t="shared" si="2"/>
        <v>11</v>
      </c>
      <c r="I5" s="14" t="s">
        <v>92</v>
      </c>
    </row>
    <row r="6" ht="37.5" customHeight="1">
      <c r="A6" s="13"/>
      <c r="B6" s="14" t="s">
        <v>1206</v>
      </c>
      <c r="C6" s="14" t="s">
        <v>13</v>
      </c>
      <c r="D6" s="14">
        <f t="shared" si="1"/>
        <v>1</v>
      </c>
      <c r="E6" s="14" t="s">
        <v>4078</v>
      </c>
      <c r="F6" s="14" t="s">
        <v>4079</v>
      </c>
      <c r="G6" s="13">
        <f>3+2+3+2</f>
        <v>10</v>
      </c>
      <c r="H6" s="13">
        <f t="shared" si="2"/>
        <v>11</v>
      </c>
      <c r="I6" s="14" t="s">
        <v>92</v>
      </c>
    </row>
    <row r="7" ht="37.5" customHeight="1">
      <c r="A7" s="13"/>
      <c r="B7" s="14" t="s">
        <v>1203</v>
      </c>
      <c r="C7" s="14" t="s">
        <v>14</v>
      </c>
      <c r="D7" s="14">
        <f t="shared" si="1"/>
        <v>0</v>
      </c>
      <c r="E7" s="14" t="s">
        <v>4080</v>
      </c>
      <c r="F7" s="14" t="s">
        <v>4081</v>
      </c>
      <c r="G7" s="14">
        <f>2+3+1+1+3</f>
        <v>10</v>
      </c>
      <c r="H7" s="13">
        <f t="shared" si="2"/>
        <v>10</v>
      </c>
      <c r="I7" s="14" t="s">
        <v>92</v>
      </c>
    </row>
    <row r="8" ht="37.5" customHeight="1">
      <c r="A8" s="13"/>
      <c r="B8" s="14" t="s">
        <v>1196</v>
      </c>
      <c r="C8" s="14" t="s">
        <v>14</v>
      </c>
      <c r="D8" s="14">
        <f t="shared" si="1"/>
        <v>0</v>
      </c>
      <c r="E8" s="14" t="s">
        <v>4082</v>
      </c>
      <c r="F8" s="14" t="s">
        <v>4083</v>
      </c>
      <c r="G8" s="13">
        <f>1+2+2+1+3+1</f>
        <v>10</v>
      </c>
      <c r="H8" s="13">
        <f t="shared" si="2"/>
        <v>10</v>
      </c>
      <c r="I8" s="14" t="s">
        <v>92</v>
      </c>
    </row>
    <row r="9" ht="37.5" customHeight="1">
      <c r="A9" s="13"/>
      <c r="B9" s="14" t="s">
        <v>1202</v>
      </c>
      <c r="C9" s="14" t="s">
        <v>13</v>
      </c>
      <c r="D9" s="14">
        <f t="shared" si="1"/>
        <v>1</v>
      </c>
      <c r="E9" s="14" t="s">
        <v>4074</v>
      </c>
      <c r="F9" s="14" t="s">
        <v>975</v>
      </c>
      <c r="G9" s="13">
        <f t="shared" ref="G9:G10" si="3">2+2+1+1</f>
        <v>6</v>
      </c>
      <c r="H9" s="13">
        <f t="shared" si="2"/>
        <v>7</v>
      </c>
      <c r="I9" s="14" t="s">
        <v>120</v>
      </c>
    </row>
    <row r="10" ht="37.5" customHeight="1">
      <c r="A10" s="13"/>
      <c r="B10" s="14" t="s">
        <v>1204</v>
      </c>
      <c r="C10" s="14" t="s">
        <v>14</v>
      </c>
      <c r="D10" s="14">
        <f t="shared" si="1"/>
        <v>0</v>
      </c>
      <c r="E10" s="14" t="s">
        <v>4074</v>
      </c>
      <c r="F10" s="14" t="s">
        <v>975</v>
      </c>
      <c r="G10" s="13">
        <f t="shared" si="3"/>
        <v>6</v>
      </c>
      <c r="H10" s="13">
        <f t="shared" si="2"/>
        <v>6</v>
      </c>
      <c r="I10" s="14" t="s">
        <v>120</v>
      </c>
    </row>
    <row r="11" ht="37.5" customHeight="1">
      <c r="A11" s="13"/>
      <c r="B11" s="14" t="s">
        <v>747</v>
      </c>
      <c r="C11" s="14" t="s">
        <v>11</v>
      </c>
      <c r="D11" s="14">
        <v>-1.0</v>
      </c>
      <c r="E11" s="14" t="s">
        <v>4084</v>
      </c>
      <c r="F11" s="14" t="s">
        <v>141</v>
      </c>
      <c r="G11" s="13">
        <f>3+2+1</f>
        <v>6</v>
      </c>
      <c r="H11" s="13">
        <f t="shared" si="2"/>
        <v>5</v>
      </c>
      <c r="I11" s="14" t="s">
        <v>120</v>
      </c>
    </row>
    <row r="12" ht="37.5" customHeight="1">
      <c r="A12" s="14"/>
      <c r="B12" s="14" t="s">
        <v>1197</v>
      </c>
      <c r="C12" s="14" t="s">
        <v>13</v>
      </c>
      <c r="D12" s="14">
        <f t="shared" ref="D12:D20" si="4">IF(C12="Adaptive",1,0)</f>
        <v>1</v>
      </c>
      <c r="E12" s="14" t="s">
        <v>269</v>
      </c>
      <c r="F12" s="14" t="s">
        <v>4085</v>
      </c>
      <c r="G12" s="13">
        <f>1+2+1</f>
        <v>4</v>
      </c>
      <c r="H12" s="13">
        <f t="shared" si="2"/>
        <v>5</v>
      </c>
      <c r="I12" s="14" t="s">
        <v>120</v>
      </c>
    </row>
    <row r="13" ht="37.5" customHeight="1">
      <c r="A13" s="13"/>
      <c r="B13" s="14" t="s">
        <v>1186</v>
      </c>
      <c r="C13" s="14" t="s">
        <v>14</v>
      </c>
      <c r="D13" s="14">
        <f t="shared" si="4"/>
        <v>0</v>
      </c>
      <c r="E13" s="14" t="s">
        <v>4086</v>
      </c>
      <c r="F13" s="14" t="s">
        <v>141</v>
      </c>
      <c r="G13" s="13">
        <f>2+1+1</f>
        <v>4</v>
      </c>
      <c r="H13" s="13">
        <f t="shared" si="2"/>
        <v>4</v>
      </c>
      <c r="I13" s="14" t="s">
        <v>136</v>
      </c>
    </row>
    <row r="14" ht="37.5" customHeight="1">
      <c r="A14" s="13"/>
      <c r="B14" s="14" t="s">
        <v>1192</v>
      </c>
      <c r="C14" s="14" t="s">
        <v>13</v>
      </c>
      <c r="D14" s="14">
        <f t="shared" si="4"/>
        <v>1</v>
      </c>
      <c r="E14" s="14" t="s">
        <v>4086</v>
      </c>
      <c r="F14" s="14" t="s">
        <v>75</v>
      </c>
      <c r="G14" s="13">
        <f>2+1-1</f>
        <v>2</v>
      </c>
      <c r="H14" s="13">
        <f t="shared" si="2"/>
        <v>3</v>
      </c>
      <c r="I14" s="14" t="s">
        <v>136</v>
      </c>
    </row>
    <row r="15" ht="37.5" customHeight="1">
      <c r="A15" s="13"/>
      <c r="B15" s="14" t="s">
        <v>1188</v>
      </c>
      <c r="C15" s="14" t="s">
        <v>13</v>
      </c>
      <c r="D15" s="14">
        <f t="shared" si="4"/>
        <v>1</v>
      </c>
      <c r="E15" s="14" t="s">
        <v>269</v>
      </c>
      <c r="F15" s="14" t="s">
        <v>141</v>
      </c>
      <c r="G15" s="13">
        <f>1+1</f>
        <v>2</v>
      </c>
      <c r="H15" s="13">
        <f t="shared" si="2"/>
        <v>3</v>
      </c>
      <c r="I15" s="14" t="s">
        <v>136</v>
      </c>
    </row>
    <row r="16" ht="37.5" customHeight="1">
      <c r="A16" s="13"/>
      <c r="B16" s="14" t="s">
        <v>1189</v>
      </c>
      <c r="C16" s="14" t="s">
        <v>14</v>
      </c>
      <c r="D16" s="14">
        <f t="shared" si="4"/>
        <v>0</v>
      </c>
      <c r="E16" s="14" t="s">
        <v>4086</v>
      </c>
      <c r="F16" s="14" t="s">
        <v>75</v>
      </c>
      <c r="G16" s="13">
        <f>2+1-1</f>
        <v>2</v>
      </c>
      <c r="H16" s="13">
        <f t="shared" si="2"/>
        <v>2</v>
      </c>
      <c r="I16" s="14" t="s">
        <v>167</v>
      </c>
    </row>
    <row r="17" ht="37.5" customHeight="1">
      <c r="A17" s="13"/>
      <c r="B17" s="14" t="s">
        <v>1193</v>
      </c>
      <c r="C17" s="14" t="s">
        <v>13</v>
      </c>
      <c r="D17" s="14">
        <f t="shared" si="4"/>
        <v>1</v>
      </c>
      <c r="E17" s="14" t="s">
        <v>225</v>
      </c>
      <c r="F17" s="14" t="s">
        <v>75</v>
      </c>
      <c r="G17" s="14">
        <f>2-1</f>
        <v>1</v>
      </c>
      <c r="H17" s="13">
        <f t="shared" si="2"/>
        <v>2</v>
      </c>
      <c r="I17" s="14" t="s">
        <v>167</v>
      </c>
    </row>
    <row r="18" ht="37.5" customHeight="1">
      <c r="A18" s="13"/>
      <c r="B18" s="14" t="s">
        <v>1191</v>
      </c>
      <c r="C18" s="14" t="s">
        <v>13</v>
      </c>
      <c r="D18" s="14">
        <f t="shared" si="4"/>
        <v>1</v>
      </c>
      <c r="E18" s="14" t="s">
        <v>189</v>
      </c>
      <c r="F18" s="14" t="s">
        <v>75</v>
      </c>
      <c r="G18" s="14">
        <f>1-1</f>
        <v>0</v>
      </c>
      <c r="H18" s="13">
        <f t="shared" si="2"/>
        <v>1</v>
      </c>
      <c r="I18" s="14" t="s">
        <v>167</v>
      </c>
    </row>
    <row r="19" ht="37.5" customHeight="1">
      <c r="A19" s="13"/>
      <c r="B19" s="14" t="s">
        <v>639</v>
      </c>
      <c r="C19" s="14" t="s">
        <v>14</v>
      </c>
      <c r="D19" s="14">
        <f t="shared" si="4"/>
        <v>0</v>
      </c>
      <c r="E19" s="14" t="s">
        <v>4068</v>
      </c>
      <c r="F19" s="14" t="s">
        <v>75</v>
      </c>
      <c r="G19" s="13">
        <f t="shared" ref="G19:G20" si="5">2-1</f>
        <v>1</v>
      </c>
      <c r="H19" s="13">
        <f t="shared" si="2"/>
        <v>1</v>
      </c>
      <c r="I19" s="14" t="s">
        <v>167</v>
      </c>
    </row>
    <row r="20" ht="37.5" customHeight="1">
      <c r="A20" s="13"/>
      <c r="B20" s="14" t="s">
        <v>1194</v>
      </c>
      <c r="C20" s="14" t="s">
        <v>14</v>
      </c>
      <c r="D20" s="14">
        <f t="shared" si="4"/>
        <v>0</v>
      </c>
      <c r="E20" s="14" t="s">
        <v>4086</v>
      </c>
      <c r="F20" s="14" t="s">
        <v>75</v>
      </c>
      <c r="G20" s="14">
        <f t="shared" si="5"/>
        <v>1</v>
      </c>
      <c r="H20" s="13">
        <f t="shared" si="2"/>
        <v>1</v>
      </c>
      <c r="I20" s="14" t="s">
        <v>167</v>
      </c>
    </row>
  </sheetData>
  <autoFilter ref="$A$2:$I$20">
    <sortState ref="A2:I20">
      <sortCondition descending="1" ref="H2:H20"/>
      <sortCondition ref="B2:B20"/>
      <sortCondition descending="1" ref="I2:I20"/>
      <sortCondition descending="1" ref="G2:G20"/>
    </sortState>
  </autoFilter>
  <mergeCells count="4">
    <mergeCell ref="A1:B1"/>
    <mergeCell ref="C1:D1"/>
    <mergeCell ref="E1:G1"/>
    <mergeCell ref="H1:I1"/>
  </mergeCells>
  <conditionalFormatting sqref="H3:I20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6" width="20.25"/>
    <col customWidth="1" min="7" max="7" width="23.13"/>
    <col customWidth="1" min="8" max="8" width="8.13"/>
    <col customWidth="1" min="9" max="9" width="7.5"/>
    <col customWidth="1" min="10" max="10" width="6.63"/>
  </cols>
  <sheetData>
    <row r="1" ht="15.0" customHeight="1">
      <c r="A1" s="5" t="s">
        <v>47</v>
      </c>
      <c r="C1" s="6" t="s">
        <v>48</v>
      </c>
      <c r="E1" s="8" t="s">
        <v>181</v>
      </c>
      <c r="I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0</v>
      </c>
      <c r="F2" s="11" t="s">
        <v>262</v>
      </c>
      <c r="G2" s="11" t="s">
        <v>60</v>
      </c>
      <c r="H2" s="11" t="s">
        <v>56</v>
      </c>
      <c r="I2" s="12" t="s">
        <v>62</v>
      </c>
      <c r="J2" s="12" t="s">
        <v>63</v>
      </c>
    </row>
    <row r="3" ht="37.5" customHeight="1">
      <c r="A3" s="13"/>
      <c r="B3" s="14" t="s">
        <v>4087</v>
      </c>
      <c r="C3" s="14" t="s">
        <v>13</v>
      </c>
      <c r="D3" s="14">
        <f>IFS(C3="Caster",-1,C3="Vortex",0,OR(C3="Lightweight",C3="Aggressive"),1,C3="Adaptive",2)+1</f>
        <v>3</v>
      </c>
      <c r="E3" s="14" t="s">
        <v>693</v>
      </c>
      <c r="F3" s="14" t="s">
        <v>75</v>
      </c>
      <c r="G3" s="14" t="s">
        <v>4088</v>
      </c>
      <c r="H3" s="13">
        <f>2+3.5+1</f>
        <v>6.5</v>
      </c>
      <c r="I3" s="13">
        <f t="shared" ref="I3:I27" si="1">SUM(D3,H3)</f>
        <v>9.5</v>
      </c>
      <c r="J3" s="14" t="s">
        <v>71</v>
      </c>
    </row>
    <row r="4" ht="37.5" customHeight="1">
      <c r="A4" s="13"/>
      <c r="B4" s="14" t="s">
        <v>1362</v>
      </c>
      <c r="C4" s="14" t="s">
        <v>13</v>
      </c>
      <c r="D4" s="14">
        <f t="shared" ref="D4:D27" si="2">IFS(C4="Caster",-1,C4="Vortex",0,OR(C4="Lightweight",C4="Aggressive"),1,C4="Adaptive",2)</f>
        <v>2</v>
      </c>
      <c r="E4" s="14" t="s">
        <v>693</v>
      </c>
      <c r="F4" s="14" t="s">
        <v>75</v>
      </c>
      <c r="G4" s="14" t="s">
        <v>4089</v>
      </c>
      <c r="H4" s="13">
        <f>2+2+3</f>
        <v>7</v>
      </c>
      <c r="I4" s="13">
        <f t="shared" si="1"/>
        <v>9</v>
      </c>
      <c r="J4" s="14" t="s">
        <v>71</v>
      </c>
    </row>
    <row r="5" ht="37.5" customHeight="1">
      <c r="A5" s="14"/>
      <c r="B5" s="14" t="s">
        <v>1363</v>
      </c>
      <c r="C5" s="14" t="s">
        <v>13</v>
      </c>
      <c r="D5" s="14">
        <f t="shared" si="2"/>
        <v>2</v>
      </c>
      <c r="E5" s="14" t="s">
        <v>693</v>
      </c>
      <c r="F5" s="14" t="s">
        <v>75</v>
      </c>
      <c r="G5" s="14" t="s">
        <v>4090</v>
      </c>
      <c r="H5" s="13">
        <f>2+3+2</f>
        <v>7</v>
      </c>
      <c r="I5" s="13">
        <f t="shared" si="1"/>
        <v>9</v>
      </c>
      <c r="J5" s="14" t="s">
        <v>71</v>
      </c>
    </row>
    <row r="6" ht="37.5" customHeight="1">
      <c r="A6" s="13"/>
      <c r="B6" s="14" t="s">
        <v>1364</v>
      </c>
      <c r="C6" s="14" t="s">
        <v>13</v>
      </c>
      <c r="D6" s="14">
        <f t="shared" si="2"/>
        <v>2</v>
      </c>
      <c r="E6" s="14" t="s">
        <v>693</v>
      </c>
      <c r="F6" s="14" t="s">
        <v>75</v>
      </c>
      <c r="G6" s="14" t="s">
        <v>4091</v>
      </c>
      <c r="H6" s="13">
        <f>2+2+3</f>
        <v>7</v>
      </c>
      <c r="I6" s="13">
        <f t="shared" si="1"/>
        <v>9</v>
      </c>
      <c r="J6" s="14" t="s">
        <v>71</v>
      </c>
    </row>
    <row r="7" ht="37.5" customHeight="1">
      <c r="A7" s="13"/>
      <c r="B7" s="14" t="s">
        <v>2007</v>
      </c>
      <c r="C7" s="14" t="s">
        <v>13</v>
      </c>
      <c r="D7" s="14">
        <f t="shared" si="2"/>
        <v>2</v>
      </c>
      <c r="E7" s="14" t="s">
        <v>693</v>
      </c>
      <c r="F7" s="14" t="s">
        <v>1824</v>
      </c>
      <c r="G7" s="14" t="s">
        <v>4092</v>
      </c>
      <c r="H7" s="13">
        <f t="shared" ref="H7:H8" si="3">2+3+2</f>
        <v>7</v>
      </c>
      <c r="I7" s="13">
        <f t="shared" si="1"/>
        <v>9</v>
      </c>
      <c r="J7" s="14" t="s">
        <v>71</v>
      </c>
    </row>
    <row r="8" ht="37.5" customHeight="1">
      <c r="A8" s="13"/>
      <c r="B8" s="14" t="s">
        <v>1254</v>
      </c>
      <c r="C8" s="14" t="s">
        <v>13</v>
      </c>
      <c r="D8" s="14">
        <f t="shared" si="2"/>
        <v>2</v>
      </c>
      <c r="E8" s="14" t="s">
        <v>693</v>
      </c>
      <c r="F8" s="14" t="s">
        <v>75</v>
      </c>
      <c r="G8" s="14" t="s">
        <v>4093</v>
      </c>
      <c r="H8" s="13">
        <f t="shared" si="3"/>
        <v>7</v>
      </c>
      <c r="I8" s="13">
        <f t="shared" si="1"/>
        <v>9</v>
      </c>
      <c r="J8" s="14" t="s">
        <v>71</v>
      </c>
    </row>
    <row r="9" ht="37.5" customHeight="1">
      <c r="A9" s="13"/>
      <c r="B9" s="14" t="s">
        <v>1339</v>
      </c>
      <c r="C9" s="14" t="s">
        <v>16</v>
      </c>
      <c r="D9" s="14">
        <f t="shared" si="2"/>
        <v>1</v>
      </c>
      <c r="E9" s="14" t="s">
        <v>693</v>
      </c>
      <c r="F9" s="14" t="s">
        <v>75</v>
      </c>
      <c r="G9" s="14" t="s">
        <v>4091</v>
      </c>
      <c r="H9" s="13">
        <f>2+2+3.5</f>
        <v>7.5</v>
      </c>
      <c r="I9" s="13">
        <f t="shared" si="1"/>
        <v>8.5</v>
      </c>
      <c r="J9" s="14" t="s">
        <v>92</v>
      </c>
    </row>
    <row r="10" ht="37.5" customHeight="1">
      <c r="A10" s="13"/>
      <c r="B10" s="14" t="s">
        <v>1370</v>
      </c>
      <c r="C10" s="14" t="s">
        <v>13</v>
      </c>
      <c r="D10" s="14">
        <f t="shared" si="2"/>
        <v>2</v>
      </c>
      <c r="E10" s="14" t="s">
        <v>693</v>
      </c>
      <c r="F10" s="14" t="s">
        <v>75</v>
      </c>
      <c r="G10" s="14" t="s">
        <v>1643</v>
      </c>
      <c r="H10" s="13">
        <f>2+3.5</f>
        <v>5.5</v>
      </c>
      <c r="I10" s="13">
        <f t="shared" si="1"/>
        <v>7.5</v>
      </c>
      <c r="J10" s="14" t="s">
        <v>92</v>
      </c>
    </row>
    <row r="11" ht="37.5" customHeight="1">
      <c r="A11" s="13"/>
      <c r="B11" s="14" t="s">
        <v>4094</v>
      </c>
      <c r="C11" s="14" t="s">
        <v>25</v>
      </c>
      <c r="D11" s="14">
        <f t="shared" si="2"/>
        <v>0</v>
      </c>
      <c r="E11" s="14" t="s">
        <v>693</v>
      </c>
      <c r="F11" s="14" t="s">
        <v>75</v>
      </c>
      <c r="G11" s="14" t="s">
        <v>4095</v>
      </c>
      <c r="H11" s="13">
        <f>2+3.5+2</f>
        <v>7.5</v>
      </c>
      <c r="I11" s="13">
        <f t="shared" si="1"/>
        <v>7.5</v>
      </c>
      <c r="J11" s="14" t="s">
        <v>92</v>
      </c>
    </row>
    <row r="12" ht="37.5" customHeight="1">
      <c r="A12" s="13"/>
      <c r="B12" s="14" t="s">
        <v>2032</v>
      </c>
      <c r="C12" s="14" t="s">
        <v>25</v>
      </c>
      <c r="D12" s="14">
        <f t="shared" si="2"/>
        <v>0</v>
      </c>
      <c r="E12" s="14" t="s">
        <v>693</v>
      </c>
      <c r="F12" s="14" t="s">
        <v>75</v>
      </c>
      <c r="G12" s="14" t="s">
        <v>4090</v>
      </c>
      <c r="H12" s="13">
        <f>2+3+2</f>
        <v>7</v>
      </c>
      <c r="I12" s="13">
        <f t="shared" si="1"/>
        <v>7</v>
      </c>
      <c r="J12" s="14" t="s">
        <v>120</v>
      </c>
    </row>
    <row r="13" ht="37.5" customHeight="1">
      <c r="A13" s="13"/>
      <c r="B13" s="14" t="s">
        <v>1351</v>
      </c>
      <c r="C13" s="14" t="s">
        <v>13</v>
      </c>
      <c r="D13" s="14">
        <f t="shared" si="2"/>
        <v>2</v>
      </c>
      <c r="E13" s="14" t="s">
        <v>693</v>
      </c>
      <c r="F13" s="14" t="s">
        <v>1824</v>
      </c>
      <c r="G13" s="14" t="s">
        <v>75</v>
      </c>
      <c r="H13" s="13">
        <f t="shared" ref="H13:H14" si="4">2+3</f>
        <v>5</v>
      </c>
      <c r="I13" s="13">
        <f t="shared" si="1"/>
        <v>7</v>
      </c>
      <c r="J13" s="14" t="s">
        <v>120</v>
      </c>
    </row>
    <row r="14" ht="37.5" customHeight="1">
      <c r="A14" s="13"/>
      <c r="B14" s="14" t="s">
        <v>1372</v>
      </c>
      <c r="C14" s="14" t="s">
        <v>13</v>
      </c>
      <c r="D14" s="14">
        <f t="shared" si="2"/>
        <v>2</v>
      </c>
      <c r="E14" s="14" t="s">
        <v>693</v>
      </c>
      <c r="F14" s="14" t="s">
        <v>75</v>
      </c>
      <c r="G14" s="14" t="s">
        <v>1643</v>
      </c>
      <c r="H14" s="13">
        <f t="shared" si="4"/>
        <v>5</v>
      </c>
      <c r="I14" s="13">
        <f t="shared" si="1"/>
        <v>7</v>
      </c>
      <c r="J14" s="14" t="s">
        <v>120</v>
      </c>
    </row>
    <row r="15" ht="37.5" customHeight="1">
      <c r="A15" s="13"/>
      <c r="B15" s="14" t="s">
        <v>1355</v>
      </c>
      <c r="C15" s="14" t="s">
        <v>13</v>
      </c>
      <c r="D15" s="14">
        <f t="shared" si="2"/>
        <v>2</v>
      </c>
      <c r="E15" s="14" t="s">
        <v>693</v>
      </c>
      <c r="F15" s="14" t="s">
        <v>75</v>
      </c>
      <c r="G15" s="14" t="s">
        <v>1052</v>
      </c>
      <c r="H15" s="13">
        <f t="shared" ref="H15:H18" si="5">2+2</f>
        <v>4</v>
      </c>
      <c r="I15" s="13">
        <f t="shared" si="1"/>
        <v>6</v>
      </c>
      <c r="J15" s="14" t="s">
        <v>136</v>
      </c>
    </row>
    <row r="16" ht="37.5" customHeight="1">
      <c r="A16" s="13"/>
      <c r="B16" s="14" t="s">
        <v>1349</v>
      </c>
      <c r="C16" s="14" t="s">
        <v>13</v>
      </c>
      <c r="D16" s="14">
        <f t="shared" si="2"/>
        <v>2</v>
      </c>
      <c r="E16" s="14" t="s">
        <v>693</v>
      </c>
      <c r="F16" s="14" t="s">
        <v>75</v>
      </c>
      <c r="G16" s="14" t="s">
        <v>1052</v>
      </c>
      <c r="H16" s="13">
        <f t="shared" si="5"/>
        <v>4</v>
      </c>
      <c r="I16" s="13">
        <f t="shared" si="1"/>
        <v>6</v>
      </c>
      <c r="J16" s="14" t="s">
        <v>136</v>
      </c>
    </row>
    <row r="17" ht="37.5" customHeight="1">
      <c r="A17" s="13"/>
      <c r="B17" s="14" t="s">
        <v>1361</v>
      </c>
      <c r="C17" s="14" t="s">
        <v>13</v>
      </c>
      <c r="D17" s="14">
        <f t="shared" si="2"/>
        <v>2</v>
      </c>
      <c r="E17" s="14" t="s">
        <v>693</v>
      </c>
      <c r="F17" s="14" t="s">
        <v>75</v>
      </c>
      <c r="G17" s="14" t="s">
        <v>1052</v>
      </c>
      <c r="H17" s="13">
        <f t="shared" si="5"/>
        <v>4</v>
      </c>
      <c r="I17" s="13">
        <f t="shared" si="1"/>
        <v>6</v>
      </c>
      <c r="J17" s="14" t="s">
        <v>136</v>
      </c>
    </row>
    <row r="18" ht="37.5" customHeight="1">
      <c r="A18" s="13"/>
      <c r="B18" s="14" t="s">
        <v>1368</v>
      </c>
      <c r="C18" s="14" t="s">
        <v>13</v>
      </c>
      <c r="D18" s="14">
        <f t="shared" si="2"/>
        <v>2</v>
      </c>
      <c r="E18" s="14" t="s">
        <v>693</v>
      </c>
      <c r="F18" s="14" t="s">
        <v>75</v>
      </c>
      <c r="G18" s="14" t="s">
        <v>1052</v>
      </c>
      <c r="H18" s="13">
        <f t="shared" si="5"/>
        <v>4</v>
      </c>
      <c r="I18" s="13">
        <f t="shared" si="1"/>
        <v>6</v>
      </c>
      <c r="J18" s="14" t="s">
        <v>136</v>
      </c>
    </row>
    <row r="19" ht="37.5" customHeight="1">
      <c r="A19" s="13"/>
      <c r="B19" s="14" t="s">
        <v>808</v>
      </c>
      <c r="C19" s="14" t="s">
        <v>22</v>
      </c>
      <c r="D19" s="14">
        <f t="shared" si="2"/>
        <v>-1</v>
      </c>
      <c r="E19" s="14" t="s">
        <v>693</v>
      </c>
      <c r="F19" s="14" t="s">
        <v>75</v>
      </c>
      <c r="G19" s="14" t="s">
        <v>4095</v>
      </c>
      <c r="H19" s="13">
        <f>2+3+2</f>
        <v>7</v>
      </c>
      <c r="I19" s="13">
        <f t="shared" si="1"/>
        <v>6</v>
      </c>
      <c r="J19" s="14" t="s">
        <v>136</v>
      </c>
    </row>
    <row r="20" ht="37.5" customHeight="1">
      <c r="A20" s="13"/>
      <c r="B20" s="14" t="s">
        <v>1341</v>
      </c>
      <c r="C20" s="14" t="s">
        <v>16</v>
      </c>
      <c r="D20" s="14">
        <f t="shared" si="2"/>
        <v>1</v>
      </c>
      <c r="E20" s="14" t="s">
        <v>75</v>
      </c>
      <c r="F20" s="14" t="s">
        <v>75</v>
      </c>
      <c r="G20" s="14" t="s">
        <v>4088</v>
      </c>
      <c r="H20" s="13">
        <f>3.5+1</f>
        <v>4.5</v>
      </c>
      <c r="I20" s="13">
        <f t="shared" si="1"/>
        <v>5.5</v>
      </c>
      <c r="J20" s="14" t="s">
        <v>136</v>
      </c>
    </row>
    <row r="21" ht="37.5" customHeight="1">
      <c r="A21" s="13"/>
      <c r="B21" s="14" t="s">
        <v>1359</v>
      </c>
      <c r="C21" s="14" t="s">
        <v>25</v>
      </c>
      <c r="D21" s="14">
        <f t="shared" si="2"/>
        <v>0</v>
      </c>
      <c r="E21" s="14" t="s">
        <v>693</v>
      </c>
      <c r="F21" s="14" t="s">
        <v>75</v>
      </c>
      <c r="G21" s="14" t="s">
        <v>1643</v>
      </c>
      <c r="H21" s="13">
        <f>2+3</f>
        <v>5</v>
      </c>
      <c r="I21" s="13">
        <f t="shared" si="1"/>
        <v>5</v>
      </c>
      <c r="J21" s="14" t="s">
        <v>136</v>
      </c>
    </row>
    <row r="22" ht="37.5" customHeight="1">
      <c r="A22" s="13"/>
      <c r="B22" s="14" t="s">
        <v>1347</v>
      </c>
      <c r="C22" s="14" t="s">
        <v>24</v>
      </c>
      <c r="D22" s="14">
        <f t="shared" si="2"/>
        <v>1</v>
      </c>
      <c r="E22" s="14" t="s">
        <v>693</v>
      </c>
      <c r="F22" s="14" t="s">
        <v>75</v>
      </c>
      <c r="G22" s="14" t="s">
        <v>1052</v>
      </c>
      <c r="H22" s="13">
        <f>2+2</f>
        <v>4</v>
      </c>
      <c r="I22" s="13">
        <f t="shared" si="1"/>
        <v>5</v>
      </c>
      <c r="J22" s="14" t="s">
        <v>136</v>
      </c>
    </row>
    <row r="23" ht="37.5" customHeight="1">
      <c r="A23" s="13"/>
      <c r="B23" s="14" t="s">
        <v>1366</v>
      </c>
      <c r="C23" s="14" t="s">
        <v>25</v>
      </c>
      <c r="D23" s="14">
        <f t="shared" si="2"/>
        <v>0</v>
      </c>
      <c r="E23" s="14" t="s">
        <v>693</v>
      </c>
      <c r="F23" s="14" t="s">
        <v>75</v>
      </c>
      <c r="G23" s="14" t="s">
        <v>247</v>
      </c>
      <c r="H23" s="13">
        <f>2+1.5</f>
        <v>3.5</v>
      </c>
      <c r="I23" s="13">
        <f t="shared" si="1"/>
        <v>3.5</v>
      </c>
      <c r="J23" s="14" t="s">
        <v>167</v>
      </c>
    </row>
    <row r="24" ht="37.5" customHeight="1">
      <c r="A24" s="13"/>
      <c r="B24" s="14" t="s">
        <v>1365</v>
      </c>
      <c r="C24" s="14" t="s">
        <v>24</v>
      </c>
      <c r="D24" s="14">
        <f t="shared" si="2"/>
        <v>1</v>
      </c>
      <c r="E24" s="14" t="s">
        <v>693</v>
      </c>
      <c r="F24" s="14" t="s">
        <v>75</v>
      </c>
      <c r="G24" s="14" t="s">
        <v>75</v>
      </c>
      <c r="H24" s="13">
        <f>2</f>
        <v>2</v>
      </c>
      <c r="I24" s="13">
        <f t="shared" si="1"/>
        <v>3</v>
      </c>
      <c r="J24" s="14" t="s">
        <v>167</v>
      </c>
    </row>
    <row r="25" ht="37.5" customHeight="1">
      <c r="A25" s="13"/>
      <c r="B25" s="14" t="s">
        <v>1367</v>
      </c>
      <c r="C25" s="14" t="s">
        <v>22</v>
      </c>
      <c r="D25" s="14">
        <f t="shared" si="2"/>
        <v>-1</v>
      </c>
      <c r="E25" s="14" t="s">
        <v>693</v>
      </c>
      <c r="F25" s="14" t="s">
        <v>75</v>
      </c>
      <c r="G25" s="14" t="s">
        <v>343</v>
      </c>
      <c r="H25" s="13">
        <f>2+1.5</f>
        <v>3.5</v>
      </c>
      <c r="I25" s="13">
        <f t="shared" si="1"/>
        <v>2.5</v>
      </c>
      <c r="J25" s="14" t="s">
        <v>167</v>
      </c>
    </row>
    <row r="26" ht="37.5" customHeight="1">
      <c r="A26" s="13"/>
      <c r="B26" s="14" t="s">
        <v>1360</v>
      </c>
      <c r="C26" s="14" t="s">
        <v>25</v>
      </c>
      <c r="D26" s="14">
        <f t="shared" si="2"/>
        <v>0</v>
      </c>
      <c r="E26" s="14" t="s">
        <v>693</v>
      </c>
      <c r="F26" s="14" t="s">
        <v>75</v>
      </c>
      <c r="G26" s="14" t="s">
        <v>75</v>
      </c>
      <c r="H26" s="13">
        <f t="shared" ref="H26:H27" si="6">2</f>
        <v>2</v>
      </c>
      <c r="I26" s="13">
        <f t="shared" si="1"/>
        <v>2</v>
      </c>
      <c r="J26" s="14" t="s">
        <v>167</v>
      </c>
    </row>
    <row r="27" ht="37.5" customHeight="1">
      <c r="A27" s="13"/>
      <c r="B27" s="14" t="s">
        <v>1369</v>
      </c>
      <c r="C27" s="14" t="s">
        <v>25</v>
      </c>
      <c r="D27" s="14">
        <f t="shared" si="2"/>
        <v>0</v>
      </c>
      <c r="E27" s="14" t="s">
        <v>693</v>
      </c>
      <c r="F27" s="14" t="s">
        <v>75</v>
      </c>
      <c r="G27" s="14" t="s">
        <v>75</v>
      </c>
      <c r="H27" s="13">
        <f t="shared" si="6"/>
        <v>2</v>
      </c>
      <c r="I27" s="13">
        <f t="shared" si="1"/>
        <v>2</v>
      </c>
      <c r="J27" s="14" t="s">
        <v>167</v>
      </c>
    </row>
  </sheetData>
  <autoFilter ref="$A$2:$J$27">
    <sortState ref="A2:J27">
      <sortCondition descending="1" ref="I2:I27"/>
      <sortCondition ref="B2:B27"/>
      <sortCondition descending="1" ref="J2:J27"/>
      <sortCondition descending="1" ref="H2:H27"/>
    </sortState>
  </autoFilter>
  <mergeCells count="4">
    <mergeCell ref="A1:B1"/>
    <mergeCell ref="C1:D1"/>
    <mergeCell ref="E1:H1"/>
    <mergeCell ref="I1:J1"/>
  </mergeCells>
  <conditionalFormatting sqref="I3:J2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7.75"/>
    <col customWidth="1" min="6" max="6" width="5.88"/>
    <col customWidth="1" min="7" max="8" width="18.88"/>
    <col customWidth="1" min="9" max="10" width="20.13"/>
    <col customWidth="1" min="11" max="11" width="12.38"/>
    <col customWidth="1" min="12" max="12" width="18.88"/>
    <col customWidth="1" min="13" max="13" width="7.5"/>
    <col customWidth="1" min="14" max="14" width="7.38"/>
  </cols>
  <sheetData>
    <row r="1" ht="15.0" customHeight="1">
      <c r="A1" s="190" t="s">
        <v>47</v>
      </c>
      <c r="C1" s="191" t="s">
        <v>1979</v>
      </c>
      <c r="G1" s="192" t="s">
        <v>181</v>
      </c>
      <c r="L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94" t="s">
        <v>0</v>
      </c>
      <c r="F2" s="195" t="s">
        <v>2416</v>
      </c>
      <c r="G2" s="194" t="s">
        <v>2417</v>
      </c>
      <c r="H2" s="194" t="s">
        <v>2418</v>
      </c>
      <c r="I2" s="194" t="s">
        <v>2419</v>
      </c>
      <c r="J2" s="194" t="s">
        <v>2420</v>
      </c>
      <c r="K2" s="126" t="s">
        <v>2421</v>
      </c>
      <c r="L2" s="126" t="s">
        <v>421</v>
      </c>
      <c r="M2" s="196" t="s">
        <v>2422</v>
      </c>
      <c r="N2" s="196" t="s">
        <v>63</v>
      </c>
    </row>
    <row r="3" ht="37.5" customHeight="1">
      <c r="A3" s="128"/>
      <c r="B3" s="128" t="s">
        <v>780</v>
      </c>
      <c r="C3" s="128">
        <v>29.0</v>
      </c>
      <c r="D3" s="128" t="s">
        <v>94</v>
      </c>
      <c r="E3" s="128">
        <v>42.0</v>
      </c>
      <c r="F3" s="128" t="s">
        <v>2423</v>
      </c>
      <c r="G3" s="197" t="s">
        <v>4096</v>
      </c>
      <c r="H3" s="197" t="s">
        <v>4097</v>
      </c>
      <c r="I3" s="197" t="s">
        <v>4098</v>
      </c>
      <c r="J3" s="197" t="s">
        <v>4099</v>
      </c>
      <c r="K3" s="197" t="s">
        <v>2543</v>
      </c>
      <c r="L3" s="197" t="s">
        <v>4100</v>
      </c>
      <c r="M3" s="128">
        <v>1.0</v>
      </c>
      <c r="N3" s="128" t="s">
        <v>71</v>
      </c>
    </row>
    <row r="4" ht="37.5" customHeight="1">
      <c r="A4" s="128"/>
      <c r="B4" s="128" t="s">
        <v>635</v>
      </c>
      <c r="C4" s="128">
        <v>27.0</v>
      </c>
      <c r="D4" s="128" t="s">
        <v>73</v>
      </c>
      <c r="E4" s="128">
        <v>40.0</v>
      </c>
      <c r="F4" s="14" t="s">
        <v>2423</v>
      </c>
      <c r="G4" s="197" t="s">
        <v>4096</v>
      </c>
      <c r="H4" s="197" t="s">
        <v>4101</v>
      </c>
      <c r="I4" s="197" t="s">
        <v>4102</v>
      </c>
      <c r="J4" s="197" t="s">
        <v>4103</v>
      </c>
      <c r="K4" s="197" t="s">
        <v>2692</v>
      </c>
      <c r="L4" s="197" t="s">
        <v>4104</v>
      </c>
      <c r="M4" s="128">
        <v>2.0</v>
      </c>
      <c r="N4" s="128" t="s">
        <v>71</v>
      </c>
    </row>
    <row r="5" ht="37.5" customHeight="1">
      <c r="A5" s="128"/>
      <c r="B5" s="128" t="s">
        <v>3334</v>
      </c>
      <c r="C5" s="128">
        <v>29.0</v>
      </c>
      <c r="D5" s="128" t="s">
        <v>89</v>
      </c>
      <c r="E5" s="128">
        <v>47.0</v>
      </c>
      <c r="F5" s="128" t="s">
        <v>2423</v>
      </c>
      <c r="G5" s="197" t="s">
        <v>4096</v>
      </c>
      <c r="H5" s="197" t="s">
        <v>3735</v>
      </c>
      <c r="I5" s="197" t="s">
        <v>4105</v>
      </c>
      <c r="J5" s="197" t="s">
        <v>4106</v>
      </c>
      <c r="K5" s="197" t="s">
        <v>2462</v>
      </c>
      <c r="L5" s="197" t="s">
        <v>4107</v>
      </c>
      <c r="M5" s="128">
        <v>3.0</v>
      </c>
      <c r="N5" s="128" t="s">
        <v>71</v>
      </c>
    </row>
    <row r="6" ht="37.5" customHeight="1">
      <c r="A6" s="13"/>
      <c r="B6" s="128" t="s">
        <v>851</v>
      </c>
      <c r="C6" s="128">
        <v>29.0</v>
      </c>
      <c r="D6" s="128" t="s">
        <v>73</v>
      </c>
      <c r="E6" s="128">
        <v>37.0</v>
      </c>
      <c r="F6" s="14" t="s">
        <v>2423</v>
      </c>
      <c r="G6" s="197" t="s">
        <v>4096</v>
      </c>
      <c r="H6" s="197" t="s">
        <v>4108</v>
      </c>
      <c r="I6" s="197" t="s">
        <v>4109</v>
      </c>
      <c r="J6" s="197" t="s">
        <v>4110</v>
      </c>
      <c r="K6" s="197" t="s">
        <v>1077</v>
      </c>
      <c r="L6" s="197" t="s">
        <v>4111</v>
      </c>
      <c r="M6" s="128">
        <v>4.0</v>
      </c>
      <c r="N6" s="128" t="s">
        <v>71</v>
      </c>
    </row>
    <row r="7" ht="37.5" customHeight="1">
      <c r="A7" s="13"/>
      <c r="B7" s="128" t="s">
        <v>1877</v>
      </c>
      <c r="C7" s="128">
        <v>29.0</v>
      </c>
      <c r="D7" s="128" t="s">
        <v>83</v>
      </c>
      <c r="E7" s="128">
        <v>25.0</v>
      </c>
      <c r="F7" s="14" t="s">
        <v>2423</v>
      </c>
      <c r="G7" s="197" t="s">
        <v>4096</v>
      </c>
      <c r="H7" s="197" t="s">
        <v>3735</v>
      </c>
      <c r="I7" s="197" t="s">
        <v>4112</v>
      </c>
      <c r="J7" s="198" t="s">
        <v>2591</v>
      </c>
      <c r="K7" s="197" t="s">
        <v>1539</v>
      </c>
      <c r="L7" s="197" t="s">
        <v>4113</v>
      </c>
      <c r="M7" s="128">
        <v>5.0</v>
      </c>
      <c r="N7" s="128" t="s">
        <v>71</v>
      </c>
    </row>
    <row r="8" ht="37.5" customHeight="1">
      <c r="A8" s="13"/>
      <c r="B8" s="128" t="s">
        <v>767</v>
      </c>
      <c r="C8" s="128">
        <v>29.0</v>
      </c>
      <c r="D8" s="128" t="s">
        <v>157</v>
      </c>
      <c r="E8" s="128">
        <v>46.0</v>
      </c>
      <c r="F8" s="14" t="s">
        <v>2423</v>
      </c>
      <c r="G8" s="197" t="s">
        <v>4096</v>
      </c>
      <c r="H8" s="197" t="s">
        <v>4108</v>
      </c>
      <c r="I8" s="197" t="s">
        <v>4114</v>
      </c>
      <c r="J8" s="197" t="s">
        <v>1876</v>
      </c>
      <c r="K8" s="197" t="s">
        <v>895</v>
      </c>
      <c r="L8" s="197" t="s">
        <v>4115</v>
      </c>
      <c r="M8" s="128">
        <v>6.0</v>
      </c>
      <c r="N8" s="128" t="s">
        <v>71</v>
      </c>
    </row>
    <row r="9" ht="37.5" customHeight="1">
      <c r="A9" s="13"/>
      <c r="B9" s="128" t="s">
        <v>4116</v>
      </c>
      <c r="C9" s="128">
        <v>29.0</v>
      </c>
      <c r="D9" s="128" t="s">
        <v>65</v>
      </c>
      <c r="E9" s="128">
        <v>37.0</v>
      </c>
      <c r="F9" s="14" t="s">
        <v>2423</v>
      </c>
      <c r="G9" s="197" t="s">
        <v>4096</v>
      </c>
      <c r="H9" s="197" t="s">
        <v>4108</v>
      </c>
      <c r="I9" s="197" t="s">
        <v>4117</v>
      </c>
      <c r="J9" s="197" t="s">
        <v>4118</v>
      </c>
      <c r="K9" s="197" t="s">
        <v>1506</v>
      </c>
      <c r="L9" s="197" t="s">
        <v>4119</v>
      </c>
      <c r="M9" s="128">
        <v>7.0</v>
      </c>
      <c r="N9" s="128" t="s">
        <v>71</v>
      </c>
    </row>
    <row r="10" ht="37.5" customHeight="1">
      <c r="A10" s="13"/>
      <c r="B10" s="128" t="s">
        <v>554</v>
      </c>
      <c r="C10" s="128">
        <v>27.0</v>
      </c>
      <c r="D10" s="128" t="s">
        <v>65</v>
      </c>
      <c r="E10" s="128">
        <v>37.0</v>
      </c>
      <c r="F10" s="14" t="s">
        <v>2423</v>
      </c>
      <c r="G10" s="197" t="s">
        <v>4096</v>
      </c>
      <c r="H10" s="197" t="s">
        <v>3760</v>
      </c>
      <c r="I10" s="197" t="s">
        <v>4120</v>
      </c>
      <c r="J10" s="197" t="s">
        <v>4121</v>
      </c>
      <c r="K10" s="197" t="s">
        <v>2543</v>
      </c>
      <c r="L10" s="197" t="s">
        <v>4122</v>
      </c>
      <c r="M10" s="128">
        <v>8.0</v>
      </c>
      <c r="N10" s="128" t="s">
        <v>92</v>
      </c>
    </row>
  </sheetData>
  <autoFilter ref="$A$2:$N$10"/>
  <mergeCells count="4">
    <mergeCell ref="A1:B1"/>
    <mergeCell ref="C1:F1"/>
    <mergeCell ref="G1:K1"/>
    <mergeCell ref="L1:N1"/>
  </mergeCells>
  <conditionalFormatting sqref="M3:N1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10">
    <cfRule type="cellIs" dxfId="13" priority="2" operator="equal">
      <formula>"Solar"</formula>
    </cfRule>
  </conditionalFormatting>
  <conditionalFormatting sqref="D3:D10">
    <cfRule type="cellIs" dxfId="20" priority="3" operator="equal">
      <formula>"Arc"</formula>
    </cfRule>
  </conditionalFormatting>
  <conditionalFormatting sqref="D3:D10">
    <cfRule type="cellIs" dxfId="21" priority="4" operator="equal">
      <formula>"Stasis"</formula>
    </cfRule>
  </conditionalFormatting>
  <conditionalFormatting sqref="D3:D10">
    <cfRule type="cellIs" dxfId="18" priority="5" operator="equal">
      <formula>"Void"</formula>
    </cfRule>
  </conditionalFormatting>
  <conditionalFormatting sqref="D3:D10">
    <cfRule type="cellIs" dxfId="17" priority="6" operator="equal">
      <formula>"Strand"</formula>
    </cfRule>
  </conditionalFormatting>
  <conditionalFormatting sqref="F3:F10">
    <cfRule type="cellIs" dxfId="17" priority="7" operator="equal">
      <formula>"Yes"</formula>
    </cfRule>
  </conditionalFormatting>
  <conditionalFormatting sqref="F3:F10">
    <cfRule type="cellIs" dxfId="2" priority="8" operator="equal">
      <formula>"No"</formula>
    </cfRule>
  </conditionalFormatting>
  <conditionalFormatting sqref="N3:N10">
    <cfRule type="cellIs" dxfId="5" priority="9" operator="equal">
      <formula>"S"</formula>
    </cfRule>
  </conditionalFormatting>
  <conditionalFormatting sqref="N3:N10">
    <cfRule type="cellIs" dxfId="6" priority="10" operator="equal">
      <formula>"B"</formula>
    </cfRule>
  </conditionalFormatting>
  <conditionalFormatting sqref="N3:N10">
    <cfRule type="cellIs" dxfId="7" priority="11" operator="equal">
      <formula>"D"</formula>
    </cfRule>
  </conditionalFormatting>
  <conditionalFormatting sqref="N3:N10">
    <cfRule type="cellIs" dxfId="8" priority="12" operator="equal">
      <formula>"C"</formula>
    </cfRule>
  </conditionalFormatting>
  <conditionalFormatting sqref="N3:N10">
    <cfRule type="cellIs" dxfId="9" priority="13" operator="equal">
      <formula>"A"</formula>
    </cfRule>
  </conditionalFormatting>
  <conditionalFormatting sqref="E3:E10">
    <cfRule type="colorScale" priority="1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10">
    <cfRule type="expression" dxfId="12" priority="15">
      <formula>$C3=MAX($C$4:$C10)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7.75"/>
    <col customWidth="1" min="6" max="6" width="5.88"/>
    <col customWidth="1" min="7" max="8" width="16.38"/>
    <col customWidth="1" min="9" max="10" width="20.13"/>
    <col customWidth="1" min="11" max="11" width="12.38"/>
    <col customWidth="1" min="12" max="12" width="18.88"/>
    <col customWidth="1" min="13" max="13" width="7.5"/>
    <col customWidth="1" min="14" max="14" width="7.38"/>
  </cols>
  <sheetData>
    <row r="1" ht="15.0" customHeight="1">
      <c r="A1" s="190" t="s">
        <v>47</v>
      </c>
      <c r="C1" s="191" t="s">
        <v>1979</v>
      </c>
      <c r="G1" s="192" t="s">
        <v>181</v>
      </c>
      <c r="L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94" t="s">
        <v>0</v>
      </c>
      <c r="F2" s="195" t="s">
        <v>2416</v>
      </c>
      <c r="G2" s="194" t="s">
        <v>2417</v>
      </c>
      <c r="H2" s="194" t="s">
        <v>2418</v>
      </c>
      <c r="I2" s="194" t="s">
        <v>2419</v>
      </c>
      <c r="J2" s="194" t="s">
        <v>2420</v>
      </c>
      <c r="K2" s="126" t="s">
        <v>2421</v>
      </c>
      <c r="L2" s="126" t="s">
        <v>421</v>
      </c>
      <c r="M2" s="196" t="s">
        <v>2422</v>
      </c>
      <c r="N2" s="196" t="s">
        <v>63</v>
      </c>
    </row>
    <row r="3" ht="37.5" customHeight="1">
      <c r="A3" s="128"/>
      <c r="B3" s="128" t="s">
        <v>701</v>
      </c>
      <c r="C3" s="128">
        <v>29.0</v>
      </c>
      <c r="D3" s="128" t="s">
        <v>83</v>
      </c>
      <c r="E3" s="128">
        <v>47.0</v>
      </c>
      <c r="F3" s="14" t="s">
        <v>2423</v>
      </c>
      <c r="G3" s="197" t="s">
        <v>2727</v>
      </c>
      <c r="H3" s="197" t="s">
        <v>4123</v>
      </c>
      <c r="I3" s="197" t="s">
        <v>4124</v>
      </c>
      <c r="J3" s="197" t="s">
        <v>4125</v>
      </c>
      <c r="K3" s="197" t="s">
        <v>714</v>
      </c>
      <c r="L3" s="197" t="s">
        <v>4126</v>
      </c>
      <c r="M3" s="128">
        <v>1.0</v>
      </c>
      <c r="N3" s="128" t="s">
        <v>71</v>
      </c>
    </row>
    <row r="4" ht="37.5" customHeight="1">
      <c r="A4" s="13"/>
      <c r="B4" s="14" t="s">
        <v>1320</v>
      </c>
      <c r="C4" s="128">
        <v>29.0</v>
      </c>
      <c r="D4" s="14" t="s">
        <v>94</v>
      </c>
      <c r="E4" s="128">
        <v>37.0</v>
      </c>
      <c r="F4" s="14" t="s">
        <v>2423</v>
      </c>
      <c r="G4" s="197" t="s">
        <v>2727</v>
      </c>
      <c r="H4" s="197" t="s">
        <v>4123</v>
      </c>
      <c r="I4" s="198" t="s">
        <v>4127</v>
      </c>
      <c r="J4" s="198" t="s">
        <v>4128</v>
      </c>
      <c r="K4" s="198" t="s">
        <v>1077</v>
      </c>
      <c r="L4" s="197" t="s">
        <v>4129</v>
      </c>
      <c r="M4" s="128">
        <v>2.0</v>
      </c>
      <c r="N4" s="14" t="s">
        <v>71</v>
      </c>
    </row>
    <row r="5" ht="37.5" customHeight="1">
      <c r="A5" s="128"/>
      <c r="B5" s="128" t="s">
        <v>705</v>
      </c>
      <c r="C5" s="128">
        <v>28.0</v>
      </c>
      <c r="D5" s="128" t="s">
        <v>65</v>
      </c>
      <c r="E5" s="128">
        <v>44.0</v>
      </c>
      <c r="F5" s="14" t="s">
        <v>2423</v>
      </c>
      <c r="G5" s="197" t="s">
        <v>2727</v>
      </c>
      <c r="H5" s="197" t="s">
        <v>4123</v>
      </c>
      <c r="I5" s="197" t="s">
        <v>1857</v>
      </c>
      <c r="J5" s="197" t="s">
        <v>1858</v>
      </c>
      <c r="K5" s="197" t="s">
        <v>3198</v>
      </c>
      <c r="L5" s="197" t="s">
        <v>4130</v>
      </c>
      <c r="M5" s="128">
        <v>3.0</v>
      </c>
      <c r="N5" s="128" t="s">
        <v>71</v>
      </c>
    </row>
    <row r="6" ht="37.5" customHeight="1">
      <c r="A6" s="13"/>
      <c r="B6" s="14" t="s">
        <v>878</v>
      </c>
      <c r="C6" s="128">
        <v>15.0</v>
      </c>
      <c r="D6" s="14" t="s">
        <v>73</v>
      </c>
      <c r="E6" s="128">
        <v>47.0</v>
      </c>
      <c r="F6" s="14" t="s">
        <v>2423</v>
      </c>
      <c r="G6" s="197" t="s">
        <v>2727</v>
      </c>
      <c r="H6" s="197" t="s">
        <v>4123</v>
      </c>
      <c r="I6" s="198" t="s">
        <v>210</v>
      </c>
      <c r="J6" s="198" t="s">
        <v>4131</v>
      </c>
      <c r="K6" s="198" t="s">
        <v>1514</v>
      </c>
      <c r="L6" s="197" t="s">
        <v>4132</v>
      </c>
      <c r="M6" s="128">
        <v>4.0</v>
      </c>
      <c r="N6" s="128" t="s">
        <v>92</v>
      </c>
    </row>
    <row r="7" ht="37.5" customHeight="1">
      <c r="A7" s="13"/>
      <c r="B7" s="14" t="s">
        <v>4133</v>
      </c>
      <c r="C7" s="128">
        <v>29.0</v>
      </c>
      <c r="D7" s="14" t="s">
        <v>73</v>
      </c>
      <c r="E7" s="128">
        <v>49.0</v>
      </c>
      <c r="F7" s="14" t="s">
        <v>2423</v>
      </c>
      <c r="G7" s="197" t="s">
        <v>2727</v>
      </c>
      <c r="H7" s="197" t="s">
        <v>4123</v>
      </c>
      <c r="I7" s="198" t="s">
        <v>4134</v>
      </c>
      <c r="J7" s="198" t="s">
        <v>4135</v>
      </c>
      <c r="K7" s="198" t="s">
        <v>1529</v>
      </c>
      <c r="L7" s="197" t="s">
        <v>4136</v>
      </c>
      <c r="M7" s="128">
        <v>5.0</v>
      </c>
      <c r="N7" s="14" t="s">
        <v>92</v>
      </c>
    </row>
    <row r="8" ht="37.5" customHeight="1">
      <c r="A8" s="13"/>
      <c r="B8" s="14" t="s">
        <v>4137</v>
      </c>
      <c r="C8" s="128">
        <v>19.0</v>
      </c>
      <c r="D8" s="14" t="s">
        <v>65</v>
      </c>
      <c r="E8" s="128">
        <v>41.0</v>
      </c>
      <c r="F8" s="14" t="s">
        <v>2423</v>
      </c>
      <c r="G8" s="197" t="s">
        <v>2727</v>
      </c>
      <c r="H8" s="197" t="s">
        <v>4123</v>
      </c>
      <c r="I8" s="198" t="s">
        <v>210</v>
      </c>
      <c r="J8" s="198" t="s">
        <v>322</v>
      </c>
      <c r="K8" s="198" t="s">
        <v>1059</v>
      </c>
      <c r="L8" s="197" t="s">
        <v>4138</v>
      </c>
      <c r="M8" s="128">
        <v>6.0</v>
      </c>
      <c r="N8" s="14" t="s">
        <v>92</v>
      </c>
    </row>
    <row r="9" ht="37.5" customHeight="1">
      <c r="A9" s="13"/>
      <c r="B9" s="14" t="s">
        <v>4139</v>
      </c>
      <c r="C9" s="128">
        <v>24.0</v>
      </c>
      <c r="D9" s="14" t="s">
        <v>83</v>
      </c>
      <c r="E9" s="128">
        <v>60.0</v>
      </c>
      <c r="F9" s="14" t="s">
        <v>2423</v>
      </c>
      <c r="G9" s="197" t="s">
        <v>2727</v>
      </c>
      <c r="H9" s="197" t="s">
        <v>4123</v>
      </c>
      <c r="I9" s="198" t="s">
        <v>1647</v>
      </c>
      <c r="J9" s="198" t="s">
        <v>4140</v>
      </c>
      <c r="K9" s="198" t="s">
        <v>1517</v>
      </c>
      <c r="L9" s="197" t="s">
        <v>4141</v>
      </c>
      <c r="M9" s="128">
        <v>7.0</v>
      </c>
      <c r="N9" s="128" t="s">
        <v>92</v>
      </c>
    </row>
    <row r="10" ht="37.5" customHeight="1">
      <c r="A10" s="128"/>
      <c r="B10" s="128" t="s">
        <v>501</v>
      </c>
      <c r="C10" s="128">
        <v>28.0</v>
      </c>
      <c r="D10" s="14" t="s">
        <v>157</v>
      </c>
      <c r="E10" s="128">
        <v>41.0</v>
      </c>
      <c r="F10" s="14" t="s">
        <v>2423</v>
      </c>
      <c r="G10" s="197" t="s">
        <v>2727</v>
      </c>
      <c r="H10" s="197" t="s">
        <v>4123</v>
      </c>
      <c r="I10" s="197" t="s">
        <v>4142</v>
      </c>
      <c r="J10" s="197" t="s">
        <v>4143</v>
      </c>
      <c r="K10" s="197" t="s">
        <v>2538</v>
      </c>
      <c r="L10" s="197" t="s">
        <v>4144</v>
      </c>
      <c r="M10" s="128">
        <v>8.0</v>
      </c>
      <c r="N10" s="128" t="s">
        <v>92</v>
      </c>
    </row>
    <row r="11" ht="37.5" customHeight="1">
      <c r="A11" s="13"/>
      <c r="B11" s="14" t="s">
        <v>4145</v>
      </c>
      <c r="C11" s="128">
        <v>17.0</v>
      </c>
      <c r="D11" s="14" t="s">
        <v>94</v>
      </c>
      <c r="E11" s="128">
        <v>65.0</v>
      </c>
      <c r="F11" s="14" t="s">
        <v>2423</v>
      </c>
      <c r="G11" s="197" t="s">
        <v>2727</v>
      </c>
      <c r="H11" s="197" t="s">
        <v>4123</v>
      </c>
      <c r="I11" s="198" t="s">
        <v>90</v>
      </c>
      <c r="J11" s="198" t="s">
        <v>739</v>
      </c>
      <c r="K11" s="198" t="s">
        <v>2645</v>
      </c>
      <c r="L11" s="197" t="s">
        <v>4146</v>
      </c>
      <c r="M11" s="128">
        <v>9.0</v>
      </c>
      <c r="N11" s="14" t="s">
        <v>120</v>
      </c>
    </row>
    <row r="12" ht="37.5" customHeight="1">
      <c r="A12" s="128"/>
      <c r="B12" s="128" t="s">
        <v>778</v>
      </c>
      <c r="C12" s="128">
        <v>26.0</v>
      </c>
      <c r="D12" s="14" t="s">
        <v>65</v>
      </c>
      <c r="E12" s="128">
        <v>54.0</v>
      </c>
      <c r="F12" s="14" t="s">
        <v>2423</v>
      </c>
      <c r="G12" s="197" t="s">
        <v>2727</v>
      </c>
      <c r="H12" s="197" t="s">
        <v>4123</v>
      </c>
      <c r="I12" s="197" t="s">
        <v>4147</v>
      </c>
      <c r="J12" s="197" t="s">
        <v>4148</v>
      </c>
      <c r="K12" s="197" t="s">
        <v>895</v>
      </c>
      <c r="L12" s="197" t="s">
        <v>4149</v>
      </c>
      <c r="M12" s="128">
        <v>10.0</v>
      </c>
      <c r="N12" s="128" t="s">
        <v>120</v>
      </c>
    </row>
    <row r="13" ht="37.5" customHeight="1">
      <c r="A13" s="13"/>
      <c r="B13" s="14" t="s">
        <v>4150</v>
      </c>
      <c r="C13" s="128">
        <v>29.0</v>
      </c>
      <c r="D13" s="14" t="s">
        <v>157</v>
      </c>
      <c r="E13" s="128">
        <v>43.0</v>
      </c>
      <c r="F13" s="14" t="s">
        <v>2423</v>
      </c>
      <c r="G13" s="197" t="s">
        <v>2727</v>
      </c>
      <c r="H13" s="197" t="s">
        <v>4123</v>
      </c>
      <c r="I13" s="198" t="s">
        <v>4151</v>
      </c>
      <c r="J13" s="198" t="s">
        <v>4152</v>
      </c>
      <c r="K13" s="198" t="s">
        <v>1515</v>
      </c>
      <c r="L13" s="197" t="s">
        <v>4153</v>
      </c>
      <c r="M13" s="128">
        <v>11.0</v>
      </c>
      <c r="N13" s="14" t="s">
        <v>120</v>
      </c>
    </row>
    <row r="14" ht="37.5" customHeight="1">
      <c r="A14" s="13"/>
      <c r="B14" s="128" t="s">
        <v>637</v>
      </c>
      <c r="C14" s="128">
        <v>27.0</v>
      </c>
      <c r="D14" s="128" t="s">
        <v>83</v>
      </c>
      <c r="E14" s="128">
        <v>48.0</v>
      </c>
      <c r="F14" s="14" t="s">
        <v>2423</v>
      </c>
      <c r="G14" s="197" t="s">
        <v>2727</v>
      </c>
      <c r="H14" s="197" t="s">
        <v>4123</v>
      </c>
      <c r="I14" s="197" t="s">
        <v>4154</v>
      </c>
      <c r="J14" s="197" t="s">
        <v>4155</v>
      </c>
      <c r="K14" s="197" t="s">
        <v>2692</v>
      </c>
      <c r="L14" s="197" t="s">
        <v>4156</v>
      </c>
      <c r="M14" s="128">
        <v>12.0</v>
      </c>
      <c r="N14" s="128" t="s">
        <v>120</v>
      </c>
    </row>
  </sheetData>
  <autoFilter ref="$A$2:$N$14">
    <sortState ref="A2:N14">
      <sortCondition ref="M2:M14"/>
      <sortCondition ref="B2:B14"/>
    </sortState>
  </autoFilter>
  <mergeCells count="4">
    <mergeCell ref="A1:B1"/>
    <mergeCell ref="C1:F1"/>
    <mergeCell ref="G1:K1"/>
    <mergeCell ref="L1:N1"/>
  </mergeCells>
  <conditionalFormatting sqref="D9:D10 D13">
    <cfRule type="cellIs" dxfId="19" priority="1" operator="equal">
      <formula>"Kinetic"</formula>
    </cfRule>
  </conditionalFormatting>
  <conditionalFormatting sqref="M3:N14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14">
    <cfRule type="cellIs" dxfId="13" priority="3" operator="equal">
      <formula>"Solar"</formula>
    </cfRule>
  </conditionalFormatting>
  <conditionalFormatting sqref="D3:D14">
    <cfRule type="cellIs" dxfId="20" priority="4" operator="equal">
      <formula>"Arc"</formula>
    </cfRule>
  </conditionalFormatting>
  <conditionalFormatting sqref="D3:D14">
    <cfRule type="cellIs" dxfId="21" priority="5" operator="equal">
      <formula>"Stasis"</formula>
    </cfRule>
  </conditionalFormatting>
  <conditionalFormatting sqref="D3:D14">
    <cfRule type="cellIs" dxfId="18" priority="6" operator="equal">
      <formula>"Void"</formula>
    </cfRule>
  </conditionalFormatting>
  <conditionalFormatting sqref="D3:D14">
    <cfRule type="cellIs" dxfId="17" priority="7" operator="equal">
      <formula>"Strand"</formula>
    </cfRule>
  </conditionalFormatting>
  <conditionalFormatting sqref="F3:F14">
    <cfRule type="cellIs" dxfId="17" priority="8" operator="equal">
      <formula>"Yes"</formula>
    </cfRule>
  </conditionalFormatting>
  <conditionalFormatting sqref="F3:F14">
    <cfRule type="cellIs" dxfId="2" priority="9" operator="equal">
      <formula>"No"</formula>
    </cfRule>
  </conditionalFormatting>
  <conditionalFormatting sqref="N3:N14">
    <cfRule type="cellIs" dxfId="5" priority="10" operator="equal">
      <formula>"S"</formula>
    </cfRule>
  </conditionalFormatting>
  <conditionalFormatting sqref="N3:N14">
    <cfRule type="cellIs" dxfId="6" priority="11" operator="equal">
      <formula>"B"</formula>
    </cfRule>
  </conditionalFormatting>
  <conditionalFormatting sqref="N3:N14">
    <cfRule type="cellIs" dxfId="7" priority="12" operator="equal">
      <formula>"D"</formula>
    </cfRule>
  </conditionalFormatting>
  <conditionalFormatting sqref="N3:N14">
    <cfRule type="cellIs" dxfId="8" priority="13" operator="equal">
      <formula>"C"</formula>
    </cfRule>
  </conditionalFormatting>
  <conditionalFormatting sqref="N3:N14">
    <cfRule type="cellIs" dxfId="9" priority="14" operator="equal">
      <formula>"A"</formula>
    </cfRule>
  </conditionalFormatting>
  <conditionalFormatting sqref="E3:E14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14">
    <cfRule type="expression" dxfId="12" priority="16">
      <formula>$C3=MAX($C$4:$C14)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765</v>
      </c>
      <c r="C3" s="128">
        <v>29.0</v>
      </c>
      <c r="D3" s="14" t="s">
        <v>157</v>
      </c>
      <c r="E3" s="128" t="s">
        <v>14</v>
      </c>
      <c r="F3" s="128">
        <v>50.0</v>
      </c>
      <c r="G3" s="14" t="s">
        <v>2423</v>
      </c>
      <c r="H3" s="197" t="s">
        <v>3489</v>
      </c>
      <c r="I3" s="197" t="s">
        <v>3560</v>
      </c>
      <c r="J3" s="197" t="s">
        <v>4157</v>
      </c>
      <c r="K3" s="197" t="s">
        <v>4158</v>
      </c>
      <c r="L3" s="197" t="s">
        <v>1209</v>
      </c>
      <c r="M3" s="197" t="s">
        <v>4159</v>
      </c>
      <c r="N3" s="128">
        <v>1.0</v>
      </c>
      <c r="O3" s="128" t="s">
        <v>71</v>
      </c>
    </row>
    <row r="4" ht="37.5" customHeight="1">
      <c r="A4" s="13"/>
      <c r="B4" s="14" t="s">
        <v>4160</v>
      </c>
      <c r="C4" s="128">
        <v>29.0</v>
      </c>
      <c r="D4" s="14" t="s">
        <v>94</v>
      </c>
      <c r="E4" s="14" t="s">
        <v>13</v>
      </c>
      <c r="F4" s="128">
        <v>38.0</v>
      </c>
      <c r="G4" s="14" t="s">
        <v>2423</v>
      </c>
      <c r="H4" s="197" t="s">
        <v>3489</v>
      </c>
      <c r="I4" s="197" t="s">
        <v>4161</v>
      </c>
      <c r="J4" s="198" t="s">
        <v>4162</v>
      </c>
      <c r="K4" s="198" t="s">
        <v>4163</v>
      </c>
      <c r="L4" s="198" t="s">
        <v>2779</v>
      </c>
      <c r="M4" s="197" t="s">
        <v>4164</v>
      </c>
      <c r="N4" s="128">
        <v>2.0</v>
      </c>
      <c r="O4" s="128" t="s">
        <v>71</v>
      </c>
    </row>
    <row r="5" ht="37.5" customHeight="1">
      <c r="A5" s="128"/>
      <c r="B5" s="128" t="s">
        <v>552</v>
      </c>
      <c r="C5" s="128">
        <v>27.0</v>
      </c>
      <c r="D5" s="128" t="s">
        <v>83</v>
      </c>
      <c r="E5" s="128" t="s">
        <v>14</v>
      </c>
      <c r="F5" s="128">
        <v>49.0</v>
      </c>
      <c r="G5" s="14" t="s">
        <v>2423</v>
      </c>
      <c r="H5" s="197" t="s">
        <v>3489</v>
      </c>
      <c r="I5" s="197" t="s">
        <v>4165</v>
      </c>
      <c r="J5" s="197" t="s">
        <v>962</v>
      </c>
      <c r="K5" s="197" t="s">
        <v>4166</v>
      </c>
      <c r="L5" s="197" t="s">
        <v>2448</v>
      </c>
      <c r="M5" s="197" t="s">
        <v>4167</v>
      </c>
      <c r="N5" s="128">
        <v>3.0</v>
      </c>
      <c r="O5" s="128" t="s">
        <v>71</v>
      </c>
    </row>
    <row r="6" ht="37.5" customHeight="1">
      <c r="A6" s="13"/>
      <c r="B6" s="14" t="s">
        <v>1203</v>
      </c>
      <c r="C6" s="128">
        <v>29.0</v>
      </c>
      <c r="D6" s="14" t="s">
        <v>83</v>
      </c>
      <c r="E6" s="14" t="s">
        <v>14</v>
      </c>
      <c r="F6" s="128">
        <v>50.0</v>
      </c>
      <c r="G6" s="14" t="s">
        <v>2423</v>
      </c>
      <c r="H6" s="197" t="s">
        <v>3489</v>
      </c>
      <c r="I6" s="197" t="s">
        <v>4165</v>
      </c>
      <c r="J6" s="198" t="s">
        <v>4168</v>
      </c>
      <c r="K6" s="198" t="s">
        <v>4169</v>
      </c>
      <c r="L6" s="198" t="s">
        <v>1529</v>
      </c>
      <c r="M6" s="197" t="s">
        <v>4170</v>
      </c>
      <c r="N6" s="128">
        <v>4.0</v>
      </c>
      <c r="O6" s="128" t="s">
        <v>71</v>
      </c>
    </row>
    <row r="7" ht="37.5" customHeight="1">
      <c r="A7" s="128"/>
      <c r="B7" s="128" t="s">
        <v>639</v>
      </c>
      <c r="C7" s="128">
        <v>27.0</v>
      </c>
      <c r="D7" s="128" t="s">
        <v>73</v>
      </c>
      <c r="E7" s="128" t="s">
        <v>14</v>
      </c>
      <c r="F7" s="128">
        <v>40.0</v>
      </c>
      <c r="G7" s="14" t="s">
        <v>2423</v>
      </c>
      <c r="H7" s="197" t="s">
        <v>3489</v>
      </c>
      <c r="I7" s="197" t="s">
        <v>3560</v>
      </c>
      <c r="J7" s="197" t="s">
        <v>4171</v>
      </c>
      <c r="K7" s="197" t="s">
        <v>4172</v>
      </c>
      <c r="L7" s="197" t="s">
        <v>2836</v>
      </c>
      <c r="M7" s="197" t="s">
        <v>4173</v>
      </c>
      <c r="N7" s="128">
        <v>5.0</v>
      </c>
      <c r="O7" s="128" t="s">
        <v>71</v>
      </c>
    </row>
    <row r="8" ht="37.5" customHeight="1">
      <c r="A8" s="13"/>
      <c r="B8" s="14" t="s">
        <v>1204</v>
      </c>
      <c r="C8" s="128">
        <v>29.0</v>
      </c>
      <c r="D8" s="14" t="s">
        <v>73</v>
      </c>
      <c r="E8" s="14" t="s">
        <v>11</v>
      </c>
      <c r="F8" s="128">
        <v>40.0</v>
      </c>
      <c r="G8" s="14" t="s">
        <v>2423</v>
      </c>
      <c r="H8" s="197" t="s">
        <v>3489</v>
      </c>
      <c r="I8" s="197" t="s">
        <v>3560</v>
      </c>
      <c r="J8" s="198" t="s">
        <v>4174</v>
      </c>
      <c r="K8" s="198" t="s">
        <v>4175</v>
      </c>
      <c r="L8" s="198" t="s">
        <v>2533</v>
      </c>
      <c r="M8" s="197" t="s">
        <v>4176</v>
      </c>
      <c r="N8" s="128">
        <v>6.0</v>
      </c>
      <c r="O8" s="128" t="s">
        <v>71</v>
      </c>
    </row>
    <row r="9" ht="37.5" customHeight="1">
      <c r="A9" s="13"/>
      <c r="B9" s="14" t="s">
        <v>1186</v>
      </c>
      <c r="C9" s="128">
        <v>29.0</v>
      </c>
      <c r="D9" s="14" t="s">
        <v>73</v>
      </c>
      <c r="E9" s="14" t="s">
        <v>14</v>
      </c>
      <c r="F9" s="128">
        <v>36.0</v>
      </c>
      <c r="G9" s="14" t="s">
        <v>2423</v>
      </c>
      <c r="H9" s="197" t="s">
        <v>3489</v>
      </c>
      <c r="I9" s="197" t="s">
        <v>4165</v>
      </c>
      <c r="J9" s="198" t="s">
        <v>4177</v>
      </c>
      <c r="K9" s="198" t="s">
        <v>4178</v>
      </c>
      <c r="L9" s="198" t="s">
        <v>2524</v>
      </c>
      <c r="M9" s="197" t="s">
        <v>4179</v>
      </c>
      <c r="N9" s="128">
        <v>7.0</v>
      </c>
      <c r="O9" s="128" t="s">
        <v>92</v>
      </c>
    </row>
    <row r="10" ht="37.5" customHeight="1">
      <c r="A10" s="128"/>
      <c r="B10" s="128" t="s">
        <v>4180</v>
      </c>
      <c r="C10" s="128">
        <v>29.0</v>
      </c>
      <c r="D10" s="128" t="s">
        <v>65</v>
      </c>
      <c r="E10" s="14" t="s">
        <v>13</v>
      </c>
      <c r="F10" s="128">
        <v>33.0</v>
      </c>
      <c r="G10" s="14" t="s">
        <v>2423</v>
      </c>
      <c r="H10" s="197" t="s">
        <v>3489</v>
      </c>
      <c r="I10" s="197" t="s">
        <v>3560</v>
      </c>
      <c r="J10" s="197" t="s">
        <v>962</v>
      </c>
      <c r="K10" s="197" t="s">
        <v>4172</v>
      </c>
      <c r="L10" s="197" t="s">
        <v>425</v>
      </c>
      <c r="M10" s="197" t="s">
        <v>4181</v>
      </c>
      <c r="N10" s="128">
        <v>8.0</v>
      </c>
      <c r="O10" s="128" t="s">
        <v>92</v>
      </c>
    </row>
    <row r="11" ht="37.5" customHeight="1">
      <c r="A11" s="13"/>
      <c r="B11" s="128" t="s">
        <v>1200</v>
      </c>
      <c r="C11" s="128">
        <v>25.0</v>
      </c>
      <c r="D11" s="14" t="s">
        <v>65</v>
      </c>
      <c r="E11" s="14" t="s">
        <v>13</v>
      </c>
      <c r="F11" s="128">
        <v>29.0</v>
      </c>
      <c r="G11" s="14" t="s">
        <v>2423</v>
      </c>
      <c r="H11" s="197" t="s">
        <v>3489</v>
      </c>
      <c r="I11" s="197" t="s">
        <v>3560</v>
      </c>
      <c r="J11" s="197" t="s">
        <v>962</v>
      </c>
      <c r="K11" s="197" t="s">
        <v>4182</v>
      </c>
      <c r="L11" s="197" t="s">
        <v>1067</v>
      </c>
      <c r="M11" s="197" t="s">
        <v>4183</v>
      </c>
      <c r="N11" s="128">
        <v>9.0</v>
      </c>
      <c r="O11" s="128" t="s">
        <v>92</v>
      </c>
    </row>
    <row r="12" ht="37.5" customHeight="1">
      <c r="A12" s="13"/>
      <c r="B12" s="128" t="s">
        <v>1208</v>
      </c>
      <c r="C12" s="128">
        <v>25.0</v>
      </c>
      <c r="D12" s="14" t="s">
        <v>83</v>
      </c>
      <c r="E12" s="14" t="s">
        <v>13</v>
      </c>
      <c r="F12" s="128">
        <v>24.0</v>
      </c>
      <c r="G12" s="14" t="s">
        <v>2423</v>
      </c>
      <c r="H12" s="197" t="s">
        <v>3489</v>
      </c>
      <c r="I12" s="197" t="s">
        <v>3560</v>
      </c>
      <c r="J12" s="197" t="s">
        <v>962</v>
      </c>
      <c r="K12" s="197" t="s">
        <v>4182</v>
      </c>
      <c r="L12" s="197" t="s">
        <v>1509</v>
      </c>
      <c r="M12" s="197" t="s">
        <v>4183</v>
      </c>
      <c r="N12" s="128">
        <v>10.0</v>
      </c>
      <c r="O12" s="128" t="s">
        <v>92</v>
      </c>
    </row>
    <row r="13" ht="37.5" customHeight="1">
      <c r="A13" s="128"/>
      <c r="B13" s="14" t="s">
        <v>437</v>
      </c>
      <c r="C13" s="128">
        <v>28.0</v>
      </c>
      <c r="D13" s="14" t="s">
        <v>83</v>
      </c>
      <c r="E13" s="14" t="s">
        <v>13</v>
      </c>
      <c r="F13" s="128">
        <v>55.0</v>
      </c>
      <c r="G13" s="14" t="s">
        <v>2423</v>
      </c>
      <c r="H13" s="197" t="s">
        <v>3489</v>
      </c>
      <c r="I13" s="197" t="s">
        <v>3560</v>
      </c>
      <c r="J13" s="198" t="s">
        <v>4184</v>
      </c>
      <c r="K13" s="198" t="s">
        <v>1943</v>
      </c>
      <c r="L13" s="197" t="s">
        <v>3107</v>
      </c>
      <c r="M13" s="197" t="s">
        <v>4185</v>
      </c>
      <c r="N13" s="128">
        <v>11.0</v>
      </c>
      <c r="O13" s="128" t="s">
        <v>92</v>
      </c>
    </row>
    <row r="14" ht="37.5" customHeight="1">
      <c r="A14" s="13"/>
      <c r="B14" s="14" t="s">
        <v>747</v>
      </c>
      <c r="C14" s="128">
        <v>29.0</v>
      </c>
      <c r="D14" s="14" t="s">
        <v>157</v>
      </c>
      <c r="E14" s="14" t="s">
        <v>11</v>
      </c>
      <c r="F14" s="128">
        <v>32.0</v>
      </c>
      <c r="G14" s="14" t="s">
        <v>2423</v>
      </c>
      <c r="H14" s="197" t="s">
        <v>3489</v>
      </c>
      <c r="I14" s="197" t="s">
        <v>3490</v>
      </c>
      <c r="J14" s="198" t="s">
        <v>4186</v>
      </c>
      <c r="K14" s="198" t="s">
        <v>4187</v>
      </c>
      <c r="L14" s="198" t="s">
        <v>307</v>
      </c>
      <c r="M14" s="197" t="s">
        <v>4188</v>
      </c>
      <c r="N14" s="128">
        <v>12.0</v>
      </c>
      <c r="O14" s="128" t="s">
        <v>92</v>
      </c>
    </row>
    <row r="15" ht="37.5" customHeight="1">
      <c r="A15" s="13"/>
      <c r="B15" s="14" t="s">
        <v>1194</v>
      </c>
      <c r="C15" s="128">
        <v>29.0</v>
      </c>
      <c r="D15" s="14" t="s">
        <v>65</v>
      </c>
      <c r="E15" s="14" t="s">
        <v>14</v>
      </c>
      <c r="F15" s="128">
        <v>33.0</v>
      </c>
      <c r="G15" s="14" t="s">
        <v>2423</v>
      </c>
      <c r="H15" s="197" t="s">
        <v>3489</v>
      </c>
      <c r="I15" s="197" t="s">
        <v>4165</v>
      </c>
      <c r="J15" s="198" t="s">
        <v>4189</v>
      </c>
      <c r="K15" s="198" t="s">
        <v>1869</v>
      </c>
      <c r="L15" s="198" t="s">
        <v>1075</v>
      </c>
      <c r="M15" s="197" t="s">
        <v>4190</v>
      </c>
      <c r="N15" s="128">
        <v>13.0</v>
      </c>
      <c r="O15" s="128" t="s">
        <v>120</v>
      </c>
    </row>
    <row r="16" ht="37.5" customHeight="1">
      <c r="A16" s="13"/>
      <c r="B16" s="14" t="s">
        <v>745</v>
      </c>
      <c r="C16" s="128">
        <v>29.0</v>
      </c>
      <c r="D16" s="14" t="s">
        <v>65</v>
      </c>
      <c r="E16" s="14" t="s">
        <v>11</v>
      </c>
      <c r="F16" s="128">
        <v>27.0</v>
      </c>
      <c r="G16" s="14" t="s">
        <v>2423</v>
      </c>
      <c r="H16" s="197" t="s">
        <v>3489</v>
      </c>
      <c r="I16" s="197" t="s">
        <v>3490</v>
      </c>
      <c r="J16" s="197" t="s">
        <v>4191</v>
      </c>
      <c r="K16" s="198" t="s">
        <v>4192</v>
      </c>
      <c r="L16" s="198" t="s">
        <v>3198</v>
      </c>
      <c r="M16" s="197" t="s">
        <v>4193</v>
      </c>
      <c r="N16" s="128">
        <v>14.0</v>
      </c>
      <c r="O16" s="128" t="s">
        <v>120</v>
      </c>
    </row>
    <row r="17" ht="37.5" customHeight="1">
      <c r="A17" s="13"/>
      <c r="B17" s="14" t="s">
        <v>1206</v>
      </c>
      <c r="C17" s="128">
        <v>29.0</v>
      </c>
      <c r="D17" s="14" t="s">
        <v>94</v>
      </c>
      <c r="E17" s="14" t="s">
        <v>13</v>
      </c>
      <c r="F17" s="128">
        <v>34.0</v>
      </c>
      <c r="G17" s="14" t="s">
        <v>2423</v>
      </c>
      <c r="H17" s="197" t="s">
        <v>3489</v>
      </c>
      <c r="I17" s="197" t="s">
        <v>3560</v>
      </c>
      <c r="J17" s="198" t="s">
        <v>4194</v>
      </c>
      <c r="K17" s="198" t="s">
        <v>4195</v>
      </c>
      <c r="L17" s="198" t="s">
        <v>1532</v>
      </c>
      <c r="M17" s="197" t="s">
        <v>4196</v>
      </c>
      <c r="N17" s="128">
        <v>15.0</v>
      </c>
      <c r="O17" s="128" t="s">
        <v>120</v>
      </c>
    </row>
    <row r="18" ht="37.5" customHeight="1">
      <c r="A18" s="13"/>
      <c r="B18" s="14" t="s">
        <v>1198</v>
      </c>
      <c r="C18" s="128">
        <v>29.0</v>
      </c>
      <c r="D18" s="14" t="s">
        <v>94</v>
      </c>
      <c r="E18" s="14" t="s">
        <v>14</v>
      </c>
      <c r="F18" s="128">
        <v>50.0</v>
      </c>
      <c r="G18" s="14" t="s">
        <v>2423</v>
      </c>
      <c r="H18" s="197" t="s">
        <v>3489</v>
      </c>
      <c r="I18" s="197" t="s">
        <v>4165</v>
      </c>
      <c r="J18" s="197" t="s">
        <v>4197</v>
      </c>
      <c r="K18" s="198" t="s">
        <v>4182</v>
      </c>
      <c r="L18" s="198" t="s">
        <v>1509</v>
      </c>
      <c r="M18" s="197" t="s">
        <v>4198</v>
      </c>
      <c r="N18" s="128">
        <v>16.0</v>
      </c>
      <c r="O18" s="128" t="s">
        <v>136</v>
      </c>
    </row>
    <row r="19" ht="37.5" customHeight="1">
      <c r="A19" s="13"/>
      <c r="B19" s="14" t="s">
        <v>1205</v>
      </c>
      <c r="C19" s="128">
        <v>20.0</v>
      </c>
      <c r="D19" s="14" t="s">
        <v>73</v>
      </c>
      <c r="E19" s="14" t="s">
        <v>14</v>
      </c>
      <c r="F19" s="128">
        <v>30.0</v>
      </c>
      <c r="G19" s="14" t="s">
        <v>2423</v>
      </c>
      <c r="H19" s="197" t="s">
        <v>3489</v>
      </c>
      <c r="I19" s="197" t="s">
        <v>3560</v>
      </c>
      <c r="J19" s="198" t="s">
        <v>199</v>
      </c>
      <c r="K19" s="198" t="s">
        <v>4199</v>
      </c>
      <c r="L19" s="198" t="s">
        <v>1527</v>
      </c>
      <c r="M19" s="197" t="s">
        <v>4200</v>
      </c>
      <c r="N19" s="128">
        <v>17.0</v>
      </c>
      <c r="O19" s="128" t="s">
        <v>136</v>
      </c>
    </row>
    <row r="20" ht="37.5" customHeight="1">
      <c r="A20" s="13"/>
      <c r="B20" s="14" t="s">
        <v>1207</v>
      </c>
      <c r="C20" s="128">
        <v>29.0</v>
      </c>
      <c r="D20" s="14" t="s">
        <v>65</v>
      </c>
      <c r="E20" s="14" t="s">
        <v>13</v>
      </c>
      <c r="F20" s="128">
        <v>43.0</v>
      </c>
      <c r="G20" s="14" t="s">
        <v>2423</v>
      </c>
      <c r="H20" s="197" t="s">
        <v>3489</v>
      </c>
      <c r="I20" s="197" t="s">
        <v>3560</v>
      </c>
      <c r="J20" s="198" t="s">
        <v>4201</v>
      </c>
      <c r="K20" s="198" t="s">
        <v>4195</v>
      </c>
      <c r="L20" s="198" t="s">
        <v>2836</v>
      </c>
      <c r="M20" s="197" t="s">
        <v>4202</v>
      </c>
      <c r="N20" s="128">
        <v>18.0</v>
      </c>
      <c r="O20" s="128" t="s">
        <v>136</v>
      </c>
    </row>
    <row r="21" ht="37.5" customHeight="1">
      <c r="A21" s="13"/>
      <c r="B21" s="14" t="s">
        <v>1188</v>
      </c>
      <c r="C21" s="128">
        <v>29.0</v>
      </c>
      <c r="D21" s="14" t="s">
        <v>73</v>
      </c>
      <c r="E21" s="14" t="s">
        <v>13</v>
      </c>
      <c r="F21" s="128">
        <v>48.0</v>
      </c>
      <c r="G21" s="14" t="s">
        <v>2423</v>
      </c>
      <c r="H21" s="197" t="s">
        <v>3489</v>
      </c>
      <c r="I21" s="197" t="s">
        <v>3560</v>
      </c>
      <c r="J21" s="198" t="s">
        <v>4203</v>
      </c>
      <c r="K21" s="198" t="s">
        <v>4204</v>
      </c>
      <c r="L21" s="198" t="s">
        <v>2543</v>
      </c>
      <c r="M21" s="197" t="s">
        <v>4205</v>
      </c>
      <c r="N21" s="128">
        <v>19.0</v>
      </c>
      <c r="O21" s="128" t="s">
        <v>167</v>
      </c>
    </row>
    <row r="22" ht="37.5" customHeight="1">
      <c r="A22" s="13"/>
      <c r="B22" s="14" t="s">
        <v>1196</v>
      </c>
      <c r="C22" s="128">
        <v>21.0</v>
      </c>
      <c r="D22" s="14" t="s">
        <v>94</v>
      </c>
      <c r="E22" s="14" t="s">
        <v>14</v>
      </c>
      <c r="F22" s="128">
        <v>31.0</v>
      </c>
      <c r="G22" s="14" t="s">
        <v>2597</v>
      </c>
      <c r="H22" s="197" t="s">
        <v>3489</v>
      </c>
      <c r="I22" s="197" t="s">
        <v>3560</v>
      </c>
      <c r="J22" s="198" t="s">
        <v>4206</v>
      </c>
      <c r="K22" s="198" t="s">
        <v>934</v>
      </c>
      <c r="L22" s="198" t="s">
        <v>895</v>
      </c>
      <c r="M22" s="197" t="s">
        <v>4207</v>
      </c>
      <c r="N22" s="128">
        <v>20.0</v>
      </c>
      <c r="O22" s="128" t="s">
        <v>167</v>
      </c>
    </row>
    <row r="23" ht="37.5" customHeight="1">
      <c r="A23" s="13"/>
      <c r="B23" s="14" t="s">
        <v>1202</v>
      </c>
      <c r="C23" s="128">
        <v>10.0</v>
      </c>
      <c r="D23" s="14" t="s">
        <v>65</v>
      </c>
      <c r="E23" s="14" t="s">
        <v>13</v>
      </c>
      <c r="F23" s="128">
        <v>36.0</v>
      </c>
      <c r="G23" s="14" t="s">
        <v>2597</v>
      </c>
      <c r="H23" s="197" t="s">
        <v>3489</v>
      </c>
      <c r="I23" s="197" t="s">
        <v>3560</v>
      </c>
      <c r="J23" s="198" t="s">
        <v>4206</v>
      </c>
      <c r="K23" s="198" t="s">
        <v>975</v>
      </c>
      <c r="L23" s="198" t="s">
        <v>75</v>
      </c>
      <c r="M23" s="197" t="s">
        <v>4207</v>
      </c>
      <c r="N23" s="128">
        <v>21.0</v>
      </c>
      <c r="O23" s="128" t="s">
        <v>167</v>
      </c>
    </row>
    <row r="24" ht="37.5" customHeight="1">
      <c r="A24" s="14"/>
      <c r="B24" s="14" t="s">
        <v>1197</v>
      </c>
      <c r="C24" s="128">
        <v>16.0</v>
      </c>
      <c r="D24" s="14" t="s">
        <v>157</v>
      </c>
      <c r="E24" s="14" t="s">
        <v>13</v>
      </c>
      <c r="F24" s="128">
        <v>45.0</v>
      </c>
      <c r="G24" s="14" t="s">
        <v>2597</v>
      </c>
      <c r="H24" s="197" t="s">
        <v>3489</v>
      </c>
      <c r="I24" s="197" t="s">
        <v>3560</v>
      </c>
      <c r="J24" s="198" t="s">
        <v>269</v>
      </c>
      <c r="K24" s="198" t="s">
        <v>967</v>
      </c>
      <c r="L24" s="198" t="s">
        <v>1073</v>
      </c>
      <c r="M24" s="197" t="s">
        <v>4208</v>
      </c>
      <c r="N24" s="128">
        <v>22.0</v>
      </c>
      <c r="O24" s="128" t="s">
        <v>167</v>
      </c>
    </row>
    <row r="25" ht="37.5" customHeight="1">
      <c r="A25" s="13"/>
      <c r="B25" s="14" t="s">
        <v>1193</v>
      </c>
      <c r="C25" s="128">
        <v>14.0</v>
      </c>
      <c r="D25" s="14" t="s">
        <v>94</v>
      </c>
      <c r="E25" s="14" t="s">
        <v>13</v>
      </c>
      <c r="F25" s="128">
        <v>23.0</v>
      </c>
      <c r="G25" s="14" t="s">
        <v>2597</v>
      </c>
      <c r="H25" s="197" t="s">
        <v>3489</v>
      </c>
      <c r="I25" s="197" t="s">
        <v>3560</v>
      </c>
      <c r="J25" s="198" t="s">
        <v>4206</v>
      </c>
      <c r="K25" s="198" t="s">
        <v>4209</v>
      </c>
      <c r="L25" s="198" t="s">
        <v>75</v>
      </c>
      <c r="M25" s="197" t="s">
        <v>4210</v>
      </c>
      <c r="N25" s="128">
        <v>23.0</v>
      </c>
      <c r="O25" s="128" t="s">
        <v>423</v>
      </c>
    </row>
    <row r="26" ht="37.5" customHeight="1">
      <c r="A26" s="13"/>
      <c r="B26" s="14" t="s">
        <v>1191</v>
      </c>
      <c r="C26" s="128">
        <v>12.0</v>
      </c>
      <c r="D26" s="14" t="s">
        <v>65</v>
      </c>
      <c r="E26" s="14" t="s">
        <v>13</v>
      </c>
      <c r="F26" s="128">
        <v>48.0</v>
      </c>
      <c r="G26" s="14" t="s">
        <v>2597</v>
      </c>
      <c r="H26" s="197" t="s">
        <v>3489</v>
      </c>
      <c r="I26" s="197" t="s">
        <v>3560</v>
      </c>
      <c r="J26" s="198" t="s">
        <v>4211</v>
      </c>
      <c r="K26" s="198" t="s">
        <v>4212</v>
      </c>
      <c r="L26" s="198" t="s">
        <v>75</v>
      </c>
      <c r="M26" s="197" t="s">
        <v>4210</v>
      </c>
      <c r="N26" s="128">
        <v>24.0</v>
      </c>
      <c r="O26" s="128" t="s">
        <v>423</v>
      </c>
    </row>
    <row r="27" ht="37.5" customHeight="1">
      <c r="A27" s="13"/>
      <c r="B27" s="14" t="s">
        <v>1192</v>
      </c>
      <c r="C27" s="128">
        <v>12.0</v>
      </c>
      <c r="D27" s="14" t="s">
        <v>94</v>
      </c>
      <c r="E27" s="14" t="s">
        <v>13</v>
      </c>
      <c r="F27" s="128">
        <v>22.0</v>
      </c>
      <c r="G27" s="14" t="s">
        <v>2597</v>
      </c>
      <c r="H27" s="197" t="s">
        <v>3489</v>
      </c>
      <c r="I27" s="197" t="s">
        <v>3560</v>
      </c>
      <c r="J27" s="198" t="s">
        <v>189</v>
      </c>
      <c r="K27" s="198" t="s">
        <v>269</v>
      </c>
      <c r="L27" s="198" t="s">
        <v>425</v>
      </c>
      <c r="M27" s="197" t="s">
        <v>4213</v>
      </c>
      <c r="N27" s="128">
        <v>25.0</v>
      </c>
      <c r="O27" s="128" t="s">
        <v>423</v>
      </c>
    </row>
    <row r="28" ht="37.5" customHeight="1">
      <c r="A28" s="13"/>
      <c r="B28" s="14" t="s">
        <v>1189</v>
      </c>
      <c r="C28" s="128">
        <v>11.0</v>
      </c>
      <c r="D28" s="14" t="s">
        <v>94</v>
      </c>
      <c r="E28" s="14" t="s">
        <v>14</v>
      </c>
      <c r="F28" s="128">
        <v>28.0</v>
      </c>
      <c r="G28" s="14" t="s">
        <v>2597</v>
      </c>
      <c r="H28" s="197" t="s">
        <v>3489</v>
      </c>
      <c r="I28" s="197" t="s">
        <v>3560</v>
      </c>
      <c r="J28" s="198" t="s">
        <v>125</v>
      </c>
      <c r="K28" s="198" t="s">
        <v>85</v>
      </c>
      <c r="L28" s="198" t="s">
        <v>75</v>
      </c>
      <c r="M28" s="197" t="s">
        <v>4214</v>
      </c>
      <c r="N28" s="128">
        <v>26.0</v>
      </c>
      <c r="O28" s="128" t="s">
        <v>423</v>
      </c>
    </row>
  </sheetData>
  <autoFilter ref="$A$2:$O$28">
    <sortState ref="A2:O28">
      <sortCondition ref="N2:N28"/>
      <sortCondition ref="B2:B28"/>
    </sortState>
  </autoFilter>
  <mergeCells count="4">
    <mergeCell ref="A1:B1"/>
    <mergeCell ref="C1:G1"/>
    <mergeCell ref="H1:L1"/>
    <mergeCell ref="M1:O1"/>
  </mergeCells>
  <conditionalFormatting sqref="O3:O28">
    <cfRule type="cellIs" dxfId="3" priority="1" operator="equal">
      <formula>"F"</formula>
    </cfRule>
  </conditionalFormatting>
  <conditionalFormatting sqref="O3:O28">
    <cfRule type="cellIs" dxfId="4" priority="2" operator="equal">
      <formula>"E"</formula>
    </cfRule>
  </conditionalFormatting>
  <conditionalFormatting sqref="N3:O28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28">
    <cfRule type="cellIs" dxfId="13" priority="4" operator="equal">
      <formula>"Solar"</formula>
    </cfRule>
  </conditionalFormatting>
  <conditionalFormatting sqref="D3:D28">
    <cfRule type="cellIs" dxfId="20" priority="5" operator="equal">
      <formula>"Arc"</formula>
    </cfRule>
  </conditionalFormatting>
  <conditionalFormatting sqref="D3:D28">
    <cfRule type="cellIs" dxfId="21" priority="6" operator="equal">
      <formula>"Stasis"</formula>
    </cfRule>
  </conditionalFormatting>
  <conditionalFormatting sqref="D3:D28">
    <cfRule type="cellIs" dxfId="18" priority="7" operator="equal">
      <formula>"Void"</formula>
    </cfRule>
  </conditionalFormatting>
  <conditionalFormatting sqref="D3:D28">
    <cfRule type="cellIs" dxfId="17" priority="8" operator="equal">
      <formula>"Strand"</formula>
    </cfRule>
  </conditionalFormatting>
  <conditionalFormatting sqref="G3:G28">
    <cfRule type="cellIs" dxfId="17" priority="9" operator="equal">
      <formula>"Yes"</formula>
    </cfRule>
  </conditionalFormatting>
  <conditionalFormatting sqref="G3:G28">
    <cfRule type="cellIs" dxfId="2" priority="10" operator="equal">
      <formula>"No"</formula>
    </cfRule>
  </conditionalFormatting>
  <conditionalFormatting sqref="O3:O28">
    <cfRule type="cellIs" dxfId="5" priority="11" operator="equal">
      <formula>"S"</formula>
    </cfRule>
  </conditionalFormatting>
  <conditionalFormatting sqref="O3:O28">
    <cfRule type="cellIs" dxfId="6" priority="12" operator="equal">
      <formula>"B"</formula>
    </cfRule>
  </conditionalFormatting>
  <conditionalFormatting sqref="O3:O28">
    <cfRule type="cellIs" dxfId="7" priority="13" operator="equal">
      <formula>"D"</formula>
    </cfRule>
  </conditionalFormatting>
  <conditionalFormatting sqref="O3:O28">
    <cfRule type="cellIs" dxfId="8" priority="14" operator="equal">
      <formula>"C"</formula>
    </cfRule>
  </conditionalFormatting>
  <conditionalFormatting sqref="O3:O28">
    <cfRule type="cellIs" dxfId="9" priority="15" operator="equal">
      <formula>"A"</formula>
    </cfRule>
  </conditionalFormatting>
  <conditionalFormatting sqref="F3:F28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28">
    <cfRule type="expression" dxfId="12" priority="17">
      <formula>$C3=MAX($C$3:$C28)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7.88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795</v>
      </c>
      <c r="C3" s="128">
        <v>29.0</v>
      </c>
      <c r="D3" s="128" t="s">
        <v>94</v>
      </c>
      <c r="E3" s="128" t="s">
        <v>17</v>
      </c>
      <c r="F3" s="128">
        <v>45.0</v>
      </c>
      <c r="G3" s="14" t="s">
        <v>2423</v>
      </c>
      <c r="H3" s="197" t="s">
        <v>2727</v>
      </c>
      <c r="I3" s="197" t="s">
        <v>3585</v>
      </c>
      <c r="J3" s="197" t="s">
        <v>4215</v>
      </c>
      <c r="K3" s="197" t="s">
        <v>722</v>
      </c>
      <c r="L3" s="197" t="s">
        <v>2436</v>
      </c>
      <c r="M3" s="197" t="s">
        <v>4216</v>
      </c>
      <c r="N3" s="14">
        <v>1.0</v>
      </c>
      <c r="O3" s="128" t="s">
        <v>71</v>
      </c>
    </row>
    <row r="4" ht="37.5" customHeight="1">
      <c r="A4" s="13"/>
      <c r="B4" s="14" t="s">
        <v>1381</v>
      </c>
      <c r="C4" s="128">
        <v>29.0</v>
      </c>
      <c r="D4" s="14" t="s">
        <v>73</v>
      </c>
      <c r="E4" s="14" t="s">
        <v>17</v>
      </c>
      <c r="F4" s="128">
        <v>37.0</v>
      </c>
      <c r="G4" s="14" t="s">
        <v>2423</v>
      </c>
      <c r="H4" s="197" t="s">
        <v>2727</v>
      </c>
      <c r="I4" s="197" t="s">
        <v>3585</v>
      </c>
      <c r="J4" s="198" t="s">
        <v>146</v>
      </c>
      <c r="K4" s="198" t="s">
        <v>4217</v>
      </c>
      <c r="L4" s="198" t="s">
        <v>3000</v>
      </c>
      <c r="M4" s="197" t="s">
        <v>4218</v>
      </c>
      <c r="N4" s="14">
        <v>2.0</v>
      </c>
      <c r="O4" s="14" t="s">
        <v>71</v>
      </c>
    </row>
    <row r="5" ht="37.5" customHeight="1">
      <c r="A5" s="13"/>
      <c r="B5" s="14" t="s">
        <v>4219</v>
      </c>
      <c r="C5" s="128">
        <v>29.0</v>
      </c>
      <c r="D5" s="14" t="s">
        <v>73</v>
      </c>
      <c r="E5" s="14" t="s">
        <v>2042</v>
      </c>
      <c r="F5" s="128">
        <v>39.0</v>
      </c>
      <c r="G5" s="14" t="s">
        <v>2423</v>
      </c>
      <c r="H5" s="197" t="s">
        <v>4220</v>
      </c>
      <c r="I5" s="197" t="s">
        <v>3585</v>
      </c>
      <c r="J5" s="198" t="s">
        <v>183</v>
      </c>
      <c r="K5" s="198" t="s">
        <v>4221</v>
      </c>
      <c r="L5" s="198" t="s">
        <v>1529</v>
      </c>
      <c r="M5" s="197" t="s">
        <v>4222</v>
      </c>
      <c r="N5" s="14">
        <v>3.0</v>
      </c>
      <c r="O5" s="14" t="s">
        <v>71</v>
      </c>
    </row>
    <row r="6" ht="37.5" customHeight="1">
      <c r="A6" s="13"/>
      <c r="B6" s="14" t="s">
        <v>1373</v>
      </c>
      <c r="C6" s="128">
        <v>29.0</v>
      </c>
      <c r="D6" s="14" t="s">
        <v>83</v>
      </c>
      <c r="E6" s="14" t="s">
        <v>2042</v>
      </c>
      <c r="F6" s="128">
        <v>36.0</v>
      </c>
      <c r="G6" s="14" t="s">
        <v>2423</v>
      </c>
      <c r="H6" s="197" t="s">
        <v>4220</v>
      </c>
      <c r="I6" s="197" t="s">
        <v>3585</v>
      </c>
      <c r="J6" s="198" t="s">
        <v>4223</v>
      </c>
      <c r="K6" s="198" t="s">
        <v>1946</v>
      </c>
      <c r="L6" s="198" t="s">
        <v>2600</v>
      </c>
      <c r="M6" s="197" t="s">
        <v>4224</v>
      </c>
      <c r="N6" s="14">
        <v>4.0</v>
      </c>
      <c r="O6" s="14" t="s">
        <v>71</v>
      </c>
    </row>
    <row r="7" ht="37.5" customHeight="1">
      <c r="A7" s="128"/>
      <c r="B7" s="128" t="s">
        <v>511</v>
      </c>
      <c r="C7" s="128">
        <v>28.0</v>
      </c>
      <c r="D7" s="128" t="s">
        <v>94</v>
      </c>
      <c r="E7" s="14" t="s">
        <v>2042</v>
      </c>
      <c r="F7" s="128">
        <v>33.0</v>
      </c>
      <c r="G7" s="14" t="s">
        <v>2423</v>
      </c>
      <c r="H7" s="197" t="s">
        <v>4220</v>
      </c>
      <c r="I7" s="197" t="s">
        <v>3585</v>
      </c>
      <c r="J7" s="197" t="s">
        <v>4225</v>
      </c>
      <c r="K7" s="197" t="s">
        <v>3977</v>
      </c>
      <c r="L7" s="197" t="s">
        <v>2600</v>
      </c>
      <c r="M7" s="197" t="s">
        <v>4226</v>
      </c>
      <c r="N7" s="14">
        <v>5.0</v>
      </c>
      <c r="O7" s="14" t="s">
        <v>71</v>
      </c>
    </row>
    <row r="8" ht="37.5" customHeight="1">
      <c r="A8" s="13"/>
      <c r="B8" s="14" t="s">
        <v>4227</v>
      </c>
      <c r="C8" s="128">
        <v>29.0</v>
      </c>
      <c r="D8" s="14" t="s">
        <v>65</v>
      </c>
      <c r="E8" s="14" t="s">
        <v>2042</v>
      </c>
      <c r="F8" s="128">
        <v>32.0</v>
      </c>
      <c r="G8" s="14" t="s">
        <v>2423</v>
      </c>
      <c r="H8" s="197" t="s">
        <v>4220</v>
      </c>
      <c r="I8" s="197" t="s">
        <v>3585</v>
      </c>
      <c r="J8" s="198" t="s">
        <v>4206</v>
      </c>
      <c r="K8" s="198" t="s">
        <v>4228</v>
      </c>
      <c r="L8" s="198" t="s">
        <v>1061</v>
      </c>
      <c r="M8" s="197" t="s">
        <v>4229</v>
      </c>
      <c r="N8" s="14">
        <v>6.0</v>
      </c>
      <c r="O8" s="14" t="s">
        <v>92</v>
      </c>
    </row>
    <row r="9" ht="37.5" customHeight="1">
      <c r="A9" s="13"/>
      <c r="B9" s="128" t="s">
        <v>641</v>
      </c>
      <c r="C9" s="128">
        <v>27.0</v>
      </c>
      <c r="D9" s="128" t="s">
        <v>65</v>
      </c>
      <c r="E9" s="14" t="s">
        <v>2042</v>
      </c>
      <c r="F9" s="128">
        <v>31.0</v>
      </c>
      <c r="G9" s="14" t="s">
        <v>2423</v>
      </c>
      <c r="H9" s="197" t="s">
        <v>4220</v>
      </c>
      <c r="I9" s="197" t="s">
        <v>3585</v>
      </c>
      <c r="J9" s="197" t="s">
        <v>4230</v>
      </c>
      <c r="K9" s="197" t="s">
        <v>4231</v>
      </c>
      <c r="L9" s="197" t="s">
        <v>2600</v>
      </c>
      <c r="M9" s="197" t="s">
        <v>4232</v>
      </c>
      <c r="N9" s="14">
        <v>7.0</v>
      </c>
      <c r="O9" s="128" t="s">
        <v>92</v>
      </c>
    </row>
    <row r="10" ht="37.5" customHeight="1">
      <c r="A10" s="13"/>
      <c r="B10" s="14" t="s">
        <v>1379</v>
      </c>
      <c r="C10" s="128">
        <v>29.0</v>
      </c>
      <c r="D10" s="14" t="s">
        <v>94</v>
      </c>
      <c r="E10" s="14" t="s">
        <v>2042</v>
      </c>
      <c r="F10" s="128">
        <v>34.0</v>
      </c>
      <c r="G10" s="14" t="s">
        <v>2423</v>
      </c>
      <c r="H10" s="197" t="s">
        <v>4220</v>
      </c>
      <c r="I10" s="197" t="s">
        <v>3585</v>
      </c>
      <c r="J10" s="198" t="s">
        <v>4233</v>
      </c>
      <c r="K10" s="198" t="s">
        <v>4234</v>
      </c>
      <c r="L10" s="198" t="s">
        <v>1515</v>
      </c>
      <c r="M10" s="197" t="s">
        <v>4235</v>
      </c>
      <c r="N10" s="14">
        <v>8.0</v>
      </c>
      <c r="O10" s="14" t="s">
        <v>92</v>
      </c>
    </row>
    <row r="11" ht="37.5" customHeight="1">
      <c r="A11" s="13"/>
      <c r="B11" s="14" t="s">
        <v>1375</v>
      </c>
      <c r="C11" s="128">
        <v>24.0</v>
      </c>
      <c r="D11" s="14" t="s">
        <v>65</v>
      </c>
      <c r="E11" s="14" t="s">
        <v>17</v>
      </c>
      <c r="F11" s="128">
        <v>28.0</v>
      </c>
      <c r="G11" s="14" t="s">
        <v>2423</v>
      </c>
      <c r="H11" s="197" t="s">
        <v>2727</v>
      </c>
      <c r="I11" s="197" t="s">
        <v>3585</v>
      </c>
      <c r="J11" s="198" t="s">
        <v>4236</v>
      </c>
      <c r="K11" s="198" t="s">
        <v>1869</v>
      </c>
      <c r="L11" s="198" t="s">
        <v>1511</v>
      </c>
      <c r="M11" s="197" t="s">
        <v>4237</v>
      </c>
      <c r="N11" s="14">
        <v>9.0</v>
      </c>
      <c r="O11" s="14" t="s">
        <v>120</v>
      </c>
    </row>
    <row r="12" ht="37.5" customHeight="1">
      <c r="A12" s="14"/>
      <c r="B12" s="14" t="s">
        <v>4238</v>
      </c>
      <c r="C12" s="128">
        <v>29.0</v>
      </c>
      <c r="D12" s="14" t="s">
        <v>65</v>
      </c>
      <c r="E12" s="14" t="s">
        <v>2042</v>
      </c>
      <c r="F12" s="128">
        <v>37.0</v>
      </c>
      <c r="G12" s="14" t="s">
        <v>2423</v>
      </c>
      <c r="H12" s="197" t="s">
        <v>4220</v>
      </c>
      <c r="I12" s="197" t="s">
        <v>3585</v>
      </c>
      <c r="J12" s="198" t="s">
        <v>199</v>
      </c>
      <c r="K12" s="198" t="s">
        <v>3977</v>
      </c>
      <c r="L12" s="198" t="s">
        <v>1087</v>
      </c>
      <c r="M12" s="197" t="s">
        <v>4239</v>
      </c>
      <c r="N12" s="14">
        <v>10.0</v>
      </c>
      <c r="O12" s="14" t="s">
        <v>120</v>
      </c>
    </row>
    <row r="13" ht="37.5" customHeight="1">
      <c r="A13" s="13"/>
      <c r="B13" s="14" t="s">
        <v>1387</v>
      </c>
      <c r="C13" s="128">
        <v>29.0</v>
      </c>
      <c r="D13" s="14" t="s">
        <v>94</v>
      </c>
      <c r="E13" s="14" t="s">
        <v>17</v>
      </c>
      <c r="F13" s="128">
        <v>33.0</v>
      </c>
      <c r="G13" s="14" t="s">
        <v>2423</v>
      </c>
      <c r="H13" s="197" t="s">
        <v>2727</v>
      </c>
      <c r="I13" s="197" t="s">
        <v>3585</v>
      </c>
      <c r="J13" s="198" t="s">
        <v>158</v>
      </c>
      <c r="K13" s="198" t="s">
        <v>190</v>
      </c>
      <c r="L13" s="198" t="s">
        <v>2600</v>
      </c>
      <c r="M13" s="197" t="s">
        <v>4240</v>
      </c>
      <c r="N13" s="14">
        <v>11.0</v>
      </c>
      <c r="O13" s="14" t="s">
        <v>136</v>
      </c>
    </row>
    <row r="14" ht="37.5" customHeight="1">
      <c r="A14" s="13"/>
      <c r="B14" s="14" t="s">
        <v>1385</v>
      </c>
      <c r="C14" s="128">
        <v>29.0</v>
      </c>
      <c r="D14" s="14" t="s">
        <v>157</v>
      </c>
      <c r="E14" s="14" t="s">
        <v>17</v>
      </c>
      <c r="F14" s="128">
        <v>40.0</v>
      </c>
      <c r="G14" s="14" t="s">
        <v>2423</v>
      </c>
      <c r="H14" s="197" t="s">
        <v>2727</v>
      </c>
      <c r="I14" s="197" t="s">
        <v>3585</v>
      </c>
      <c r="J14" s="198" t="s">
        <v>158</v>
      </c>
      <c r="K14" s="198" t="s">
        <v>190</v>
      </c>
      <c r="L14" s="198" t="s">
        <v>2600</v>
      </c>
      <c r="M14" s="197" t="s">
        <v>4241</v>
      </c>
      <c r="N14" s="14">
        <v>12.0</v>
      </c>
      <c r="O14" s="14" t="s">
        <v>136</v>
      </c>
    </row>
    <row r="15" ht="37.5" customHeight="1">
      <c r="A15" s="13"/>
      <c r="B15" s="14" t="s">
        <v>1383</v>
      </c>
      <c r="C15" s="128">
        <v>29.0</v>
      </c>
      <c r="D15" s="14" t="s">
        <v>157</v>
      </c>
      <c r="E15" s="14" t="s">
        <v>2042</v>
      </c>
      <c r="F15" s="128">
        <v>33.0</v>
      </c>
      <c r="G15" s="14" t="s">
        <v>2423</v>
      </c>
      <c r="H15" s="197" t="s">
        <v>4220</v>
      </c>
      <c r="I15" s="197" t="s">
        <v>3585</v>
      </c>
      <c r="J15" s="198" t="s">
        <v>125</v>
      </c>
      <c r="K15" s="198" t="s">
        <v>247</v>
      </c>
      <c r="L15" s="198" t="s">
        <v>2600</v>
      </c>
      <c r="M15" s="197" t="s">
        <v>4242</v>
      </c>
      <c r="N15" s="14">
        <v>13.0</v>
      </c>
      <c r="O15" s="14" t="s">
        <v>136</v>
      </c>
    </row>
    <row r="16" ht="37.5" customHeight="1">
      <c r="A16" s="13"/>
      <c r="B16" s="14" t="s">
        <v>1377</v>
      </c>
      <c r="C16" s="128">
        <v>24.0</v>
      </c>
      <c r="D16" s="14" t="s">
        <v>157</v>
      </c>
      <c r="E16" s="14" t="s">
        <v>17</v>
      </c>
      <c r="F16" s="128">
        <v>32.0</v>
      </c>
      <c r="G16" s="14" t="s">
        <v>2423</v>
      </c>
      <c r="H16" s="197" t="s">
        <v>2727</v>
      </c>
      <c r="I16" s="197" t="s">
        <v>3585</v>
      </c>
      <c r="J16" s="198" t="s">
        <v>199</v>
      </c>
      <c r="K16" s="198" t="s">
        <v>4243</v>
      </c>
      <c r="L16" s="198" t="s">
        <v>2600</v>
      </c>
      <c r="M16" s="197" t="s">
        <v>4244</v>
      </c>
      <c r="N16" s="14">
        <v>14.0</v>
      </c>
      <c r="O16" s="14" t="s">
        <v>136</v>
      </c>
    </row>
    <row r="17" ht="37.5" customHeight="1">
      <c r="A17" s="13"/>
      <c r="B17" s="14" t="s">
        <v>1386</v>
      </c>
      <c r="C17" s="128">
        <v>29.0</v>
      </c>
      <c r="D17" s="14" t="s">
        <v>65</v>
      </c>
      <c r="E17" s="14" t="s">
        <v>17</v>
      </c>
      <c r="F17" s="128">
        <v>26.0</v>
      </c>
      <c r="G17" s="14" t="s">
        <v>2423</v>
      </c>
      <c r="H17" s="197" t="s">
        <v>2727</v>
      </c>
      <c r="I17" s="197" t="s">
        <v>3585</v>
      </c>
      <c r="J17" s="198" t="s">
        <v>189</v>
      </c>
      <c r="K17" s="198" t="s">
        <v>4245</v>
      </c>
      <c r="L17" s="198" t="s">
        <v>3134</v>
      </c>
      <c r="M17" s="197" t="s">
        <v>4246</v>
      </c>
      <c r="N17" s="14">
        <v>15.0</v>
      </c>
      <c r="O17" s="14" t="s">
        <v>167</v>
      </c>
    </row>
    <row r="18" ht="37.5" customHeight="1">
      <c r="A18" s="13"/>
      <c r="B18" s="14" t="s">
        <v>1384</v>
      </c>
      <c r="C18" s="128">
        <v>29.0</v>
      </c>
      <c r="D18" s="14" t="s">
        <v>83</v>
      </c>
      <c r="E18" s="14" t="s">
        <v>17</v>
      </c>
      <c r="F18" s="128">
        <v>26.0</v>
      </c>
      <c r="G18" s="14" t="s">
        <v>2423</v>
      </c>
      <c r="H18" s="197" t="s">
        <v>2727</v>
      </c>
      <c r="I18" s="197" t="s">
        <v>3585</v>
      </c>
      <c r="J18" s="198" t="s">
        <v>4247</v>
      </c>
      <c r="K18" s="198" t="s">
        <v>211</v>
      </c>
      <c r="L18" s="198" t="s">
        <v>2600</v>
      </c>
      <c r="M18" s="197" t="s">
        <v>4246</v>
      </c>
      <c r="N18" s="14">
        <v>16.0</v>
      </c>
      <c r="O18" s="14" t="s">
        <v>167</v>
      </c>
    </row>
    <row r="19" ht="37.5" customHeight="1">
      <c r="A19" s="13"/>
      <c r="B19" s="14" t="s">
        <v>1389</v>
      </c>
      <c r="C19" s="128">
        <v>13.0</v>
      </c>
      <c r="D19" s="14" t="s">
        <v>94</v>
      </c>
      <c r="E19" s="14" t="s">
        <v>17</v>
      </c>
      <c r="F19" s="128">
        <v>35.0</v>
      </c>
      <c r="G19" s="14" t="s">
        <v>2597</v>
      </c>
      <c r="H19" s="197" t="s">
        <v>2727</v>
      </c>
      <c r="I19" s="197" t="s">
        <v>3585</v>
      </c>
      <c r="J19" s="198" t="s">
        <v>189</v>
      </c>
      <c r="K19" s="198" t="s">
        <v>247</v>
      </c>
      <c r="L19" s="198" t="s">
        <v>75</v>
      </c>
      <c r="M19" s="197" t="s">
        <v>4246</v>
      </c>
      <c r="N19" s="14">
        <v>17.0</v>
      </c>
      <c r="O19" s="14" t="s">
        <v>167</v>
      </c>
    </row>
    <row r="20" ht="37.5" customHeight="1">
      <c r="A20" s="13"/>
      <c r="B20" s="14" t="s">
        <v>1388</v>
      </c>
      <c r="C20" s="128">
        <v>13.0</v>
      </c>
      <c r="D20" s="14" t="s">
        <v>65</v>
      </c>
      <c r="E20" s="14" t="s">
        <v>17</v>
      </c>
      <c r="F20" s="128">
        <v>30.0</v>
      </c>
      <c r="G20" s="14" t="s">
        <v>2597</v>
      </c>
      <c r="H20" s="197" t="s">
        <v>2727</v>
      </c>
      <c r="I20" s="197" t="s">
        <v>3585</v>
      </c>
      <c r="J20" s="198" t="s">
        <v>125</v>
      </c>
      <c r="K20" s="198" t="s">
        <v>1598</v>
      </c>
      <c r="L20" s="198" t="s">
        <v>75</v>
      </c>
      <c r="M20" s="197" t="s">
        <v>4248</v>
      </c>
      <c r="N20" s="14">
        <v>18.0</v>
      </c>
      <c r="O20" s="14" t="s">
        <v>423</v>
      </c>
    </row>
    <row r="21" ht="37.5" customHeight="1">
      <c r="A21" s="13"/>
      <c r="B21" s="14" t="s">
        <v>1382</v>
      </c>
      <c r="C21" s="128">
        <v>12.0</v>
      </c>
      <c r="D21" s="14" t="s">
        <v>73</v>
      </c>
      <c r="E21" s="14" t="s">
        <v>17</v>
      </c>
      <c r="F21" s="128">
        <v>26.0</v>
      </c>
      <c r="G21" s="14" t="s">
        <v>2597</v>
      </c>
      <c r="H21" s="197" t="s">
        <v>2727</v>
      </c>
      <c r="I21" s="197" t="s">
        <v>3585</v>
      </c>
      <c r="J21" s="198" t="s">
        <v>1615</v>
      </c>
      <c r="K21" s="198" t="s">
        <v>311</v>
      </c>
      <c r="L21" s="198" t="s">
        <v>75</v>
      </c>
      <c r="M21" s="197" t="s">
        <v>4248</v>
      </c>
      <c r="N21" s="14">
        <v>19.0</v>
      </c>
      <c r="O21" s="14" t="s">
        <v>423</v>
      </c>
    </row>
  </sheetData>
  <autoFilter ref="$A$2:$O$21">
    <sortState ref="A2:O21">
      <sortCondition ref="N2:N21"/>
      <sortCondition ref="B2:B21"/>
    </sortState>
  </autoFilter>
  <mergeCells count="4">
    <mergeCell ref="A1:B1"/>
    <mergeCell ref="C1:G1"/>
    <mergeCell ref="H1:L1"/>
    <mergeCell ref="M1:O1"/>
  </mergeCells>
  <conditionalFormatting sqref="O3:O21">
    <cfRule type="cellIs" dxfId="3" priority="1" operator="equal">
      <formula>"F"</formula>
    </cfRule>
  </conditionalFormatting>
  <conditionalFormatting sqref="O3:O21">
    <cfRule type="cellIs" dxfId="4" priority="2" operator="equal">
      <formula>"E"</formula>
    </cfRule>
  </conditionalFormatting>
  <conditionalFormatting sqref="N3:O21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21">
    <cfRule type="cellIs" dxfId="13" priority="4" operator="equal">
      <formula>"Solar"</formula>
    </cfRule>
  </conditionalFormatting>
  <conditionalFormatting sqref="D3:D21">
    <cfRule type="cellIs" dxfId="20" priority="5" operator="equal">
      <formula>"Arc"</formula>
    </cfRule>
  </conditionalFormatting>
  <conditionalFormatting sqref="D3:D21">
    <cfRule type="cellIs" dxfId="21" priority="6" operator="equal">
      <formula>"Stasis"</formula>
    </cfRule>
  </conditionalFormatting>
  <conditionalFormatting sqref="D3:D21">
    <cfRule type="cellIs" dxfId="18" priority="7" operator="equal">
      <formula>"Void"</formula>
    </cfRule>
  </conditionalFormatting>
  <conditionalFormatting sqref="D3:D21">
    <cfRule type="cellIs" dxfId="17" priority="8" operator="equal">
      <formula>"Strand"</formula>
    </cfRule>
  </conditionalFormatting>
  <conditionalFormatting sqref="G3:G21">
    <cfRule type="cellIs" dxfId="17" priority="9" operator="equal">
      <formula>"Yes"</formula>
    </cfRule>
  </conditionalFormatting>
  <conditionalFormatting sqref="G3:G21">
    <cfRule type="cellIs" dxfId="2" priority="10" operator="equal">
      <formula>"No"</formula>
    </cfRule>
  </conditionalFormatting>
  <conditionalFormatting sqref="O3:O21">
    <cfRule type="cellIs" dxfId="5" priority="11" operator="equal">
      <formula>"S"</formula>
    </cfRule>
  </conditionalFormatting>
  <conditionalFormatting sqref="O3:O21">
    <cfRule type="cellIs" dxfId="6" priority="12" operator="equal">
      <formula>"B"</formula>
    </cfRule>
  </conditionalFormatting>
  <conditionalFormatting sqref="O3:O21">
    <cfRule type="cellIs" dxfId="7" priority="13" operator="equal">
      <formula>"D"</formula>
    </cfRule>
  </conditionalFormatting>
  <conditionalFormatting sqref="O3:O21">
    <cfRule type="cellIs" dxfId="8" priority="14" operator="equal">
      <formula>"C"</formula>
    </cfRule>
  </conditionalFormatting>
  <conditionalFormatting sqref="O3:O21">
    <cfRule type="cellIs" dxfId="9" priority="15" operator="equal">
      <formula>"A"</formula>
    </cfRule>
  </conditionalFormatting>
  <conditionalFormatting sqref="F3:F21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21">
    <cfRule type="expression" dxfId="12" priority="17">
      <formula>$C3=MAX($C$5:$C21)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4" t="s">
        <v>1933</v>
      </c>
      <c r="C3" s="128">
        <v>29.0</v>
      </c>
      <c r="D3" s="14" t="s">
        <v>65</v>
      </c>
      <c r="E3" s="14" t="s">
        <v>13</v>
      </c>
      <c r="F3" s="128">
        <v>53.0</v>
      </c>
      <c r="G3" s="14" t="s">
        <v>2423</v>
      </c>
      <c r="H3" s="197" t="s">
        <v>4249</v>
      </c>
      <c r="I3" s="197" t="s">
        <v>3760</v>
      </c>
      <c r="J3" s="198" t="s">
        <v>4250</v>
      </c>
      <c r="K3" s="197" t="s">
        <v>4251</v>
      </c>
      <c r="L3" s="198" t="s">
        <v>1503</v>
      </c>
      <c r="M3" s="197" t="s">
        <v>4252</v>
      </c>
      <c r="N3" s="128">
        <v>1.0</v>
      </c>
      <c r="O3" s="14" t="s">
        <v>71</v>
      </c>
    </row>
    <row r="4" ht="37.5" customHeight="1">
      <c r="A4" s="128"/>
      <c r="B4" s="128" t="s">
        <v>454</v>
      </c>
      <c r="C4" s="128">
        <v>28.0</v>
      </c>
      <c r="D4" s="128" t="s">
        <v>83</v>
      </c>
      <c r="E4" s="128" t="s">
        <v>264</v>
      </c>
      <c r="F4" s="128">
        <v>38.0</v>
      </c>
      <c r="G4" s="128" t="s">
        <v>2423</v>
      </c>
      <c r="H4" s="197" t="s">
        <v>4249</v>
      </c>
      <c r="I4" s="197" t="s">
        <v>3891</v>
      </c>
      <c r="J4" s="197" t="s">
        <v>4253</v>
      </c>
      <c r="K4" s="197" t="s">
        <v>4254</v>
      </c>
      <c r="L4" s="197" t="s">
        <v>2457</v>
      </c>
      <c r="M4" s="197" t="s">
        <v>4255</v>
      </c>
      <c r="N4" s="128">
        <v>2.0</v>
      </c>
      <c r="O4" s="128" t="s">
        <v>71</v>
      </c>
    </row>
    <row r="5" ht="37.5" customHeight="1">
      <c r="A5" s="13"/>
      <c r="B5" s="14" t="s">
        <v>1338</v>
      </c>
      <c r="C5" s="128">
        <v>29.0</v>
      </c>
      <c r="D5" s="14" t="s">
        <v>73</v>
      </c>
      <c r="E5" s="14" t="s">
        <v>14</v>
      </c>
      <c r="F5" s="128">
        <v>32.0</v>
      </c>
      <c r="G5" s="14" t="s">
        <v>2423</v>
      </c>
      <c r="H5" s="197" t="s">
        <v>4249</v>
      </c>
      <c r="I5" s="197" t="s">
        <v>3760</v>
      </c>
      <c r="J5" s="198" t="s">
        <v>4256</v>
      </c>
      <c r="K5" s="198" t="s">
        <v>4257</v>
      </c>
      <c r="L5" s="198" t="s">
        <v>2462</v>
      </c>
      <c r="M5" s="197" t="s">
        <v>4258</v>
      </c>
      <c r="N5" s="128">
        <v>3.0</v>
      </c>
      <c r="O5" s="128" t="s">
        <v>71</v>
      </c>
    </row>
    <row r="6" ht="37.5" customHeight="1">
      <c r="A6" s="13"/>
      <c r="B6" s="14" t="s">
        <v>1324</v>
      </c>
      <c r="C6" s="128">
        <v>29.0</v>
      </c>
      <c r="D6" s="14" t="s">
        <v>83</v>
      </c>
      <c r="E6" s="14" t="s">
        <v>16</v>
      </c>
      <c r="F6" s="128">
        <v>45.0</v>
      </c>
      <c r="G6" s="14" t="s">
        <v>2423</v>
      </c>
      <c r="H6" s="197" t="s">
        <v>4249</v>
      </c>
      <c r="I6" s="197" t="s">
        <v>3891</v>
      </c>
      <c r="J6" s="198" t="s">
        <v>4259</v>
      </c>
      <c r="K6" s="198" t="s">
        <v>4260</v>
      </c>
      <c r="L6" s="198" t="s">
        <v>1539</v>
      </c>
      <c r="M6" s="197" t="s">
        <v>4261</v>
      </c>
      <c r="N6" s="128">
        <v>4.0</v>
      </c>
      <c r="O6" s="14" t="s">
        <v>71</v>
      </c>
    </row>
    <row r="7" ht="37.5" customHeight="1">
      <c r="A7" s="13"/>
      <c r="B7" s="14" t="s">
        <v>1330</v>
      </c>
      <c r="C7" s="128">
        <v>29.0</v>
      </c>
      <c r="D7" s="14" t="s">
        <v>83</v>
      </c>
      <c r="E7" s="14" t="s">
        <v>13</v>
      </c>
      <c r="F7" s="128">
        <v>51.0</v>
      </c>
      <c r="G7" s="14" t="s">
        <v>2423</v>
      </c>
      <c r="H7" s="197" t="s">
        <v>4249</v>
      </c>
      <c r="I7" s="197" t="s">
        <v>3891</v>
      </c>
      <c r="J7" s="198" t="s">
        <v>4262</v>
      </c>
      <c r="K7" s="198" t="s">
        <v>4263</v>
      </c>
      <c r="L7" s="198" t="s">
        <v>307</v>
      </c>
      <c r="M7" s="197" t="s">
        <v>4264</v>
      </c>
      <c r="N7" s="128">
        <v>5.0</v>
      </c>
      <c r="O7" s="14" t="s">
        <v>71</v>
      </c>
    </row>
    <row r="8" ht="37.5" customHeight="1">
      <c r="A8" s="13"/>
      <c r="B8" s="128" t="s">
        <v>643</v>
      </c>
      <c r="C8" s="128">
        <v>27.0</v>
      </c>
      <c r="D8" s="128" t="s">
        <v>157</v>
      </c>
      <c r="E8" s="128" t="s">
        <v>16</v>
      </c>
      <c r="F8" s="128">
        <v>42.0</v>
      </c>
      <c r="G8" s="14" t="s">
        <v>2423</v>
      </c>
      <c r="H8" s="197" t="s">
        <v>4249</v>
      </c>
      <c r="I8" s="197" t="s">
        <v>3891</v>
      </c>
      <c r="J8" s="197" t="s">
        <v>4265</v>
      </c>
      <c r="K8" s="197" t="s">
        <v>4266</v>
      </c>
      <c r="L8" s="197" t="s">
        <v>2511</v>
      </c>
      <c r="M8" s="197" t="s">
        <v>4261</v>
      </c>
      <c r="N8" s="128">
        <v>6.0</v>
      </c>
      <c r="O8" s="128" t="s">
        <v>71</v>
      </c>
    </row>
    <row r="9" ht="37.5" customHeight="1">
      <c r="A9" s="128"/>
      <c r="B9" s="14" t="s">
        <v>833</v>
      </c>
      <c r="C9" s="128">
        <v>29.0</v>
      </c>
      <c r="D9" s="14" t="s">
        <v>94</v>
      </c>
      <c r="E9" s="128" t="s">
        <v>16</v>
      </c>
      <c r="F9" s="128">
        <v>50.0</v>
      </c>
      <c r="G9" s="14" t="s">
        <v>2423</v>
      </c>
      <c r="H9" s="197" t="s">
        <v>4249</v>
      </c>
      <c r="I9" s="197" t="s">
        <v>3735</v>
      </c>
      <c r="J9" s="197" t="s">
        <v>4267</v>
      </c>
      <c r="K9" s="197" t="s">
        <v>4268</v>
      </c>
      <c r="L9" s="197" t="s">
        <v>718</v>
      </c>
      <c r="M9" s="197" t="s">
        <v>4269</v>
      </c>
      <c r="N9" s="128">
        <v>7.0</v>
      </c>
      <c r="O9" s="14" t="s">
        <v>71</v>
      </c>
    </row>
    <row r="10" ht="37.5" customHeight="1">
      <c r="A10" s="13"/>
      <c r="B10" s="14" t="s">
        <v>1329</v>
      </c>
      <c r="C10" s="128">
        <v>29.0</v>
      </c>
      <c r="D10" s="14" t="s">
        <v>157</v>
      </c>
      <c r="E10" s="14" t="s">
        <v>13</v>
      </c>
      <c r="F10" s="128">
        <v>54.0</v>
      </c>
      <c r="G10" s="14" t="s">
        <v>2423</v>
      </c>
      <c r="H10" s="197" t="s">
        <v>4249</v>
      </c>
      <c r="I10" s="197" t="s">
        <v>3891</v>
      </c>
      <c r="J10" s="198" t="s">
        <v>4270</v>
      </c>
      <c r="K10" s="198" t="s">
        <v>4271</v>
      </c>
      <c r="L10" s="198" t="s">
        <v>1087</v>
      </c>
      <c r="M10" s="197" t="s">
        <v>4272</v>
      </c>
      <c r="N10" s="128">
        <v>8.0</v>
      </c>
      <c r="O10" s="14" t="s">
        <v>71</v>
      </c>
    </row>
    <row r="11" ht="37.5" customHeight="1">
      <c r="A11" s="128"/>
      <c r="B11" s="128" t="s">
        <v>4273</v>
      </c>
      <c r="C11" s="128">
        <v>29.0</v>
      </c>
      <c r="D11" s="128" t="s">
        <v>94</v>
      </c>
      <c r="E11" s="128" t="s">
        <v>264</v>
      </c>
      <c r="F11" s="128">
        <v>44.0</v>
      </c>
      <c r="G11" s="128" t="s">
        <v>2423</v>
      </c>
      <c r="H11" s="197" t="s">
        <v>4249</v>
      </c>
      <c r="I11" s="197" t="s">
        <v>3891</v>
      </c>
      <c r="J11" s="197" t="s">
        <v>2442</v>
      </c>
      <c r="K11" s="197" t="s">
        <v>4274</v>
      </c>
      <c r="L11" s="197" t="s">
        <v>2444</v>
      </c>
      <c r="M11" s="197" t="s">
        <v>4275</v>
      </c>
      <c r="N11" s="128">
        <v>9.0</v>
      </c>
      <c r="O11" s="128" t="s">
        <v>71</v>
      </c>
    </row>
    <row r="12" ht="37.5" customHeight="1">
      <c r="A12" s="13"/>
      <c r="B12" s="14" t="s">
        <v>1332</v>
      </c>
      <c r="C12" s="128">
        <v>29.0</v>
      </c>
      <c r="D12" s="14" t="s">
        <v>157</v>
      </c>
      <c r="E12" s="14" t="s">
        <v>264</v>
      </c>
      <c r="F12" s="128">
        <v>46.0</v>
      </c>
      <c r="G12" s="14" t="s">
        <v>2423</v>
      </c>
      <c r="H12" s="197" t="s">
        <v>4249</v>
      </c>
      <c r="I12" s="197" t="s">
        <v>3735</v>
      </c>
      <c r="J12" s="198" t="s">
        <v>269</v>
      </c>
      <c r="K12" s="198" t="s">
        <v>4276</v>
      </c>
      <c r="L12" s="198" t="s">
        <v>279</v>
      </c>
      <c r="M12" s="197" t="s">
        <v>4277</v>
      </c>
      <c r="N12" s="128">
        <v>10.0</v>
      </c>
      <c r="O12" s="14" t="s">
        <v>71</v>
      </c>
    </row>
    <row r="13" ht="37.5" customHeight="1">
      <c r="A13" s="13"/>
      <c r="B13" s="14" t="s">
        <v>4278</v>
      </c>
      <c r="C13" s="128">
        <v>26.0</v>
      </c>
      <c r="D13" s="14" t="s">
        <v>65</v>
      </c>
      <c r="E13" s="14" t="s">
        <v>264</v>
      </c>
      <c r="F13" s="128">
        <v>48.0</v>
      </c>
      <c r="G13" s="14" t="s">
        <v>2423</v>
      </c>
      <c r="H13" s="197" t="s">
        <v>4249</v>
      </c>
      <c r="I13" s="197" t="s">
        <v>4279</v>
      </c>
      <c r="J13" s="198" t="s">
        <v>4280</v>
      </c>
      <c r="K13" s="197" t="s">
        <v>4281</v>
      </c>
      <c r="L13" s="197" t="s">
        <v>683</v>
      </c>
      <c r="M13" s="197" t="s">
        <v>4282</v>
      </c>
      <c r="N13" s="128">
        <v>11.0</v>
      </c>
      <c r="O13" s="128" t="s">
        <v>92</v>
      </c>
    </row>
    <row r="14" ht="37.5" customHeight="1">
      <c r="A14" s="13"/>
      <c r="B14" s="14" t="s">
        <v>1335</v>
      </c>
      <c r="C14" s="128">
        <v>29.0</v>
      </c>
      <c r="D14" s="14" t="s">
        <v>65</v>
      </c>
      <c r="E14" s="14" t="s">
        <v>264</v>
      </c>
      <c r="F14" s="128">
        <v>40.0</v>
      </c>
      <c r="G14" s="14" t="s">
        <v>2423</v>
      </c>
      <c r="H14" s="197" t="s">
        <v>4249</v>
      </c>
      <c r="I14" s="197" t="s">
        <v>3760</v>
      </c>
      <c r="J14" s="198" t="s">
        <v>4283</v>
      </c>
      <c r="K14" s="198" t="s">
        <v>4284</v>
      </c>
      <c r="L14" s="198" t="s">
        <v>2508</v>
      </c>
      <c r="M14" s="197" t="s">
        <v>4285</v>
      </c>
      <c r="N14" s="128">
        <v>12.0</v>
      </c>
      <c r="O14" s="14" t="s">
        <v>92</v>
      </c>
    </row>
    <row r="15" ht="37.5" customHeight="1">
      <c r="A15" s="13"/>
      <c r="B15" s="128" t="s">
        <v>658</v>
      </c>
      <c r="C15" s="128">
        <v>29.0</v>
      </c>
      <c r="D15" s="14" t="s">
        <v>65</v>
      </c>
      <c r="E15" s="14" t="s">
        <v>264</v>
      </c>
      <c r="F15" s="128">
        <v>48.0</v>
      </c>
      <c r="G15" s="14" t="s">
        <v>2423</v>
      </c>
      <c r="H15" s="197" t="s">
        <v>4249</v>
      </c>
      <c r="I15" s="197" t="s">
        <v>4279</v>
      </c>
      <c r="J15" s="197" t="s">
        <v>4286</v>
      </c>
      <c r="K15" s="197" t="s">
        <v>4287</v>
      </c>
      <c r="L15" s="197" t="s">
        <v>1534</v>
      </c>
      <c r="M15" s="197" t="s">
        <v>4288</v>
      </c>
      <c r="N15" s="128">
        <v>13.0</v>
      </c>
      <c r="O15" s="128" t="s">
        <v>92</v>
      </c>
    </row>
    <row r="16" ht="37.5" customHeight="1">
      <c r="A16" s="13"/>
      <c r="B16" s="14" t="s">
        <v>2003</v>
      </c>
      <c r="C16" s="128">
        <v>29.0</v>
      </c>
      <c r="D16" s="14" t="s">
        <v>94</v>
      </c>
      <c r="E16" s="14" t="s">
        <v>13</v>
      </c>
      <c r="F16" s="128">
        <v>55.0</v>
      </c>
      <c r="G16" s="14" t="s">
        <v>2423</v>
      </c>
      <c r="H16" s="197" t="s">
        <v>4249</v>
      </c>
      <c r="I16" s="197" t="s">
        <v>3760</v>
      </c>
      <c r="J16" s="198" t="s">
        <v>4289</v>
      </c>
      <c r="K16" s="198" t="s">
        <v>4290</v>
      </c>
      <c r="L16" s="198" t="s">
        <v>1519</v>
      </c>
      <c r="M16" s="197" t="s">
        <v>4291</v>
      </c>
      <c r="N16" s="128">
        <v>14.0</v>
      </c>
      <c r="O16" s="128" t="s">
        <v>92</v>
      </c>
    </row>
    <row r="17" ht="37.5" customHeight="1">
      <c r="A17" s="128"/>
      <c r="B17" s="128" t="s">
        <v>4292</v>
      </c>
      <c r="C17" s="128">
        <v>29.0</v>
      </c>
      <c r="D17" s="14" t="s">
        <v>83</v>
      </c>
      <c r="E17" s="14" t="s">
        <v>14</v>
      </c>
      <c r="F17" s="128">
        <v>33.0</v>
      </c>
      <c r="G17" s="128" t="s">
        <v>2423</v>
      </c>
      <c r="H17" s="197" t="s">
        <v>4249</v>
      </c>
      <c r="I17" s="197" t="s">
        <v>3760</v>
      </c>
      <c r="J17" s="197" t="s">
        <v>4293</v>
      </c>
      <c r="K17" s="197" t="s">
        <v>4294</v>
      </c>
      <c r="L17" s="197" t="s">
        <v>2432</v>
      </c>
      <c r="M17" s="197" t="s">
        <v>4295</v>
      </c>
      <c r="N17" s="128">
        <v>15.0</v>
      </c>
      <c r="O17" s="128" t="s">
        <v>92</v>
      </c>
    </row>
    <row r="18" ht="37.5" customHeight="1">
      <c r="A18" s="13"/>
      <c r="B18" s="14" t="s">
        <v>1248</v>
      </c>
      <c r="C18" s="128">
        <v>25.0</v>
      </c>
      <c r="D18" s="14" t="s">
        <v>73</v>
      </c>
      <c r="E18" s="14" t="s">
        <v>13</v>
      </c>
      <c r="F18" s="128">
        <v>40.0</v>
      </c>
      <c r="G18" s="14" t="s">
        <v>2423</v>
      </c>
      <c r="H18" s="197" t="s">
        <v>4249</v>
      </c>
      <c r="I18" s="197" t="s">
        <v>3735</v>
      </c>
      <c r="J18" s="198" t="s">
        <v>4296</v>
      </c>
      <c r="K18" s="198" t="s">
        <v>4297</v>
      </c>
      <c r="L18" s="198" t="s">
        <v>1530</v>
      </c>
      <c r="M18" s="197" t="s">
        <v>4298</v>
      </c>
      <c r="N18" s="128">
        <v>16.0</v>
      </c>
      <c r="O18" s="128" t="s">
        <v>92</v>
      </c>
    </row>
    <row r="19" ht="37.5" customHeight="1">
      <c r="A19" s="13"/>
      <c r="B19" s="128" t="s">
        <v>645</v>
      </c>
      <c r="C19" s="128">
        <v>27.0</v>
      </c>
      <c r="D19" s="14" t="s">
        <v>73</v>
      </c>
      <c r="E19" s="128" t="s">
        <v>13</v>
      </c>
      <c r="F19" s="128">
        <v>58.0</v>
      </c>
      <c r="G19" s="14" t="s">
        <v>2423</v>
      </c>
      <c r="H19" s="197" t="s">
        <v>4249</v>
      </c>
      <c r="I19" s="197" t="s">
        <v>3891</v>
      </c>
      <c r="J19" s="197" t="s">
        <v>4299</v>
      </c>
      <c r="K19" s="197" t="s">
        <v>4300</v>
      </c>
      <c r="L19" s="197" t="s">
        <v>3107</v>
      </c>
      <c r="M19" s="197" t="s">
        <v>4301</v>
      </c>
      <c r="N19" s="128">
        <v>17.0</v>
      </c>
      <c r="O19" s="128" t="s">
        <v>92</v>
      </c>
    </row>
    <row r="20" ht="37.5" customHeight="1">
      <c r="A20" s="128"/>
      <c r="B20" s="128" t="s">
        <v>4302</v>
      </c>
      <c r="C20" s="128">
        <v>29.0</v>
      </c>
      <c r="D20" s="128" t="s">
        <v>73</v>
      </c>
      <c r="E20" s="128" t="s">
        <v>16</v>
      </c>
      <c r="F20" s="128">
        <v>36.0</v>
      </c>
      <c r="G20" s="128" t="s">
        <v>2423</v>
      </c>
      <c r="H20" s="197" t="s">
        <v>4249</v>
      </c>
      <c r="I20" s="197" t="s">
        <v>3891</v>
      </c>
      <c r="J20" s="197" t="s">
        <v>4303</v>
      </c>
      <c r="K20" s="197" t="s">
        <v>4304</v>
      </c>
      <c r="L20" s="197" t="s">
        <v>2516</v>
      </c>
      <c r="M20" s="197" t="s">
        <v>4305</v>
      </c>
      <c r="N20" s="128">
        <v>18.0</v>
      </c>
      <c r="O20" s="128" t="s">
        <v>92</v>
      </c>
    </row>
    <row r="21" ht="37.5" customHeight="1">
      <c r="A21" s="128"/>
      <c r="B21" s="14" t="s">
        <v>873</v>
      </c>
      <c r="C21" s="128">
        <v>29.0</v>
      </c>
      <c r="D21" s="14" t="s">
        <v>94</v>
      </c>
      <c r="E21" s="14" t="s">
        <v>13</v>
      </c>
      <c r="F21" s="128">
        <v>40.0</v>
      </c>
      <c r="G21" s="14" t="s">
        <v>2423</v>
      </c>
      <c r="H21" s="197" t="s">
        <v>4249</v>
      </c>
      <c r="I21" s="197" t="s">
        <v>3891</v>
      </c>
      <c r="J21" s="198" t="s">
        <v>4306</v>
      </c>
      <c r="K21" s="198" t="s">
        <v>4307</v>
      </c>
      <c r="L21" s="198" t="s">
        <v>2467</v>
      </c>
      <c r="M21" s="197" t="s">
        <v>4308</v>
      </c>
      <c r="N21" s="128">
        <v>19.0</v>
      </c>
      <c r="O21" s="128" t="s">
        <v>92</v>
      </c>
    </row>
    <row r="22" ht="37.5" customHeight="1">
      <c r="A22" s="128"/>
      <c r="B22" s="128" t="s">
        <v>4309</v>
      </c>
      <c r="C22" s="128">
        <v>29.0</v>
      </c>
      <c r="D22" s="14" t="s">
        <v>73</v>
      </c>
      <c r="E22" s="128" t="s">
        <v>16</v>
      </c>
      <c r="F22" s="128">
        <v>35.0</v>
      </c>
      <c r="G22" s="128" t="s">
        <v>2423</v>
      </c>
      <c r="H22" s="197" t="s">
        <v>4249</v>
      </c>
      <c r="I22" s="197" t="s">
        <v>3891</v>
      </c>
      <c r="J22" s="197" t="s">
        <v>4310</v>
      </c>
      <c r="K22" s="197" t="s">
        <v>4311</v>
      </c>
      <c r="L22" s="197" t="s">
        <v>1070</v>
      </c>
      <c r="M22" s="197" t="s">
        <v>4312</v>
      </c>
      <c r="N22" s="128">
        <v>20.0</v>
      </c>
      <c r="O22" s="128" t="s">
        <v>92</v>
      </c>
    </row>
    <row r="23" ht="37.5" customHeight="1">
      <c r="A23" s="13"/>
      <c r="B23" s="14" t="s">
        <v>1322</v>
      </c>
      <c r="C23" s="128">
        <v>29.0</v>
      </c>
      <c r="D23" s="14" t="s">
        <v>73</v>
      </c>
      <c r="E23" s="14" t="s">
        <v>14</v>
      </c>
      <c r="F23" s="128">
        <v>29.0</v>
      </c>
      <c r="G23" s="14" t="s">
        <v>2423</v>
      </c>
      <c r="H23" s="197" t="s">
        <v>4249</v>
      </c>
      <c r="I23" s="197" t="s">
        <v>3760</v>
      </c>
      <c r="J23" s="198" t="s">
        <v>4313</v>
      </c>
      <c r="K23" s="198" t="s">
        <v>4314</v>
      </c>
      <c r="L23" s="198" t="s">
        <v>1077</v>
      </c>
      <c r="M23" s="197" t="s">
        <v>4315</v>
      </c>
      <c r="N23" s="128">
        <v>21.0</v>
      </c>
      <c r="O23" s="14" t="s">
        <v>92</v>
      </c>
    </row>
    <row r="24" ht="37.5" customHeight="1">
      <c r="A24" s="14"/>
      <c r="B24" s="14" t="s">
        <v>1246</v>
      </c>
      <c r="C24" s="128">
        <v>29.0</v>
      </c>
      <c r="D24" s="128" t="s">
        <v>157</v>
      </c>
      <c r="E24" s="14" t="s">
        <v>264</v>
      </c>
      <c r="F24" s="128">
        <v>41.0</v>
      </c>
      <c r="G24" s="14" t="s">
        <v>2423</v>
      </c>
      <c r="H24" s="197" t="s">
        <v>4249</v>
      </c>
      <c r="I24" s="197" t="s">
        <v>3735</v>
      </c>
      <c r="J24" s="197" t="s">
        <v>4316</v>
      </c>
      <c r="K24" s="197" t="s">
        <v>4317</v>
      </c>
      <c r="L24" s="198" t="s">
        <v>895</v>
      </c>
      <c r="M24" s="197" t="s">
        <v>4318</v>
      </c>
      <c r="N24" s="128">
        <v>22.0</v>
      </c>
      <c r="O24" s="14" t="s">
        <v>92</v>
      </c>
    </row>
    <row r="25" ht="37.5" customHeight="1">
      <c r="A25" s="128"/>
      <c r="B25" s="128" t="s">
        <v>802</v>
      </c>
      <c r="C25" s="128">
        <v>29.0</v>
      </c>
      <c r="D25" s="128" t="s">
        <v>65</v>
      </c>
      <c r="E25" s="128" t="s">
        <v>16</v>
      </c>
      <c r="F25" s="128">
        <v>36.0</v>
      </c>
      <c r="G25" s="14" t="s">
        <v>2423</v>
      </c>
      <c r="H25" s="197" t="s">
        <v>4249</v>
      </c>
      <c r="I25" s="197" t="s">
        <v>3760</v>
      </c>
      <c r="J25" s="197" t="s">
        <v>4319</v>
      </c>
      <c r="K25" s="197" t="s">
        <v>4320</v>
      </c>
      <c r="L25" s="197" t="s">
        <v>279</v>
      </c>
      <c r="M25" s="197" t="s">
        <v>4321</v>
      </c>
      <c r="N25" s="128">
        <v>23.0</v>
      </c>
      <c r="O25" s="14" t="s">
        <v>92</v>
      </c>
    </row>
    <row r="26" ht="37.5" customHeight="1">
      <c r="A26" s="13"/>
      <c r="B26" s="14" t="s">
        <v>4322</v>
      </c>
      <c r="C26" s="128">
        <v>23.0</v>
      </c>
      <c r="D26" s="14" t="s">
        <v>83</v>
      </c>
      <c r="E26" s="14" t="s">
        <v>13</v>
      </c>
      <c r="F26" s="128">
        <v>60.0</v>
      </c>
      <c r="G26" s="14" t="s">
        <v>2423</v>
      </c>
      <c r="H26" s="197" t="s">
        <v>4249</v>
      </c>
      <c r="I26" s="197" t="s">
        <v>3891</v>
      </c>
      <c r="J26" s="198" t="s">
        <v>269</v>
      </c>
      <c r="K26" s="198" t="s">
        <v>4323</v>
      </c>
      <c r="L26" s="198" t="s">
        <v>2624</v>
      </c>
      <c r="M26" s="197" t="s">
        <v>4324</v>
      </c>
      <c r="N26" s="128">
        <v>24.0</v>
      </c>
      <c r="O26" s="128" t="s">
        <v>120</v>
      </c>
    </row>
    <row r="27" ht="37.5" customHeight="1">
      <c r="A27" s="14"/>
      <c r="B27" s="14" t="s">
        <v>4325</v>
      </c>
      <c r="C27" s="128">
        <v>29.0</v>
      </c>
      <c r="D27" s="14" t="s">
        <v>65</v>
      </c>
      <c r="E27" s="14" t="s">
        <v>14</v>
      </c>
      <c r="F27" s="128">
        <v>45.0</v>
      </c>
      <c r="G27" s="14" t="s">
        <v>2423</v>
      </c>
      <c r="H27" s="197" t="s">
        <v>4249</v>
      </c>
      <c r="I27" s="197" t="s">
        <v>3760</v>
      </c>
      <c r="J27" s="198" t="s">
        <v>4326</v>
      </c>
      <c r="K27" s="198" t="s">
        <v>4327</v>
      </c>
      <c r="L27" s="198" t="s">
        <v>425</v>
      </c>
      <c r="M27" s="197" t="s">
        <v>4328</v>
      </c>
      <c r="N27" s="128">
        <v>25.0</v>
      </c>
      <c r="O27" s="14" t="s">
        <v>120</v>
      </c>
    </row>
    <row r="28" ht="37.5" customHeight="1">
      <c r="A28" s="13"/>
      <c r="B28" s="14" t="s">
        <v>1333</v>
      </c>
      <c r="C28" s="128">
        <v>29.0</v>
      </c>
      <c r="D28" s="14" t="s">
        <v>157</v>
      </c>
      <c r="E28" s="14" t="s">
        <v>14</v>
      </c>
      <c r="F28" s="128">
        <v>43.0</v>
      </c>
      <c r="G28" s="14" t="s">
        <v>2423</v>
      </c>
      <c r="H28" s="197" t="s">
        <v>4249</v>
      </c>
      <c r="I28" s="197" t="s">
        <v>3735</v>
      </c>
      <c r="J28" s="198" t="s">
        <v>4329</v>
      </c>
      <c r="K28" s="198" t="s">
        <v>4330</v>
      </c>
      <c r="L28" s="198" t="s">
        <v>2632</v>
      </c>
      <c r="M28" s="197" t="s">
        <v>4331</v>
      </c>
      <c r="N28" s="128">
        <v>26.0</v>
      </c>
      <c r="O28" s="128" t="s">
        <v>120</v>
      </c>
    </row>
    <row r="29" ht="37.5" customHeight="1">
      <c r="A29" s="13"/>
      <c r="B29" s="14" t="s">
        <v>4053</v>
      </c>
      <c r="C29" s="128">
        <v>29.0</v>
      </c>
      <c r="D29" s="14" t="s">
        <v>65</v>
      </c>
      <c r="E29" s="14" t="s">
        <v>13</v>
      </c>
      <c r="F29" s="128">
        <v>46.0</v>
      </c>
      <c r="G29" s="14" t="s">
        <v>2423</v>
      </c>
      <c r="H29" s="197" t="s">
        <v>4249</v>
      </c>
      <c r="I29" s="197" t="s">
        <v>3891</v>
      </c>
      <c r="J29" s="198" t="s">
        <v>4332</v>
      </c>
      <c r="K29" s="198" t="s">
        <v>4333</v>
      </c>
      <c r="L29" s="198" t="s">
        <v>2533</v>
      </c>
      <c r="M29" s="197" t="s">
        <v>4334</v>
      </c>
      <c r="N29" s="128">
        <v>27.0</v>
      </c>
      <c r="O29" s="128" t="s">
        <v>120</v>
      </c>
    </row>
    <row r="30" ht="37.5" customHeight="1">
      <c r="A30" s="13"/>
      <c r="B30" s="14" t="s">
        <v>871</v>
      </c>
      <c r="C30" s="128">
        <v>22.0</v>
      </c>
      <c r="D30" s="14" t="s">
        <v>94</v>
      </c>
      <c r="E30" s="14" t="s">
        <v>264</v>
      </c>
      <c r="F30" s="128">
        <v>42.0</v>
      </c>
      <c r="G30" s="14" t="s">
        <v>2423</v>
      </c>
      <c r="H30" s="197" t="s">
        <v>4249</v>
      </c>
      <c r="I30" s="197" t="s">
        <v>4279</v>
      </c>
      <c r="J30" s="198" t="s">
        <v>4335</v>
      </c>
      <c r="K30" s="198" t="s">
        <v>4336</v>
      </c>
      <c r="L30" s="198" t="s">
        <v>1087</v>
      </c>
      <c r="M30" s="197" t="s">
        <v>4337</v>
      </c>
      <c r="N30" s="128">
        <v>28.0</v>
      </c>
      <c r="O30" s="128" t="s">
        <v>120</v>
      </c>
    </row>
    <row r="31" ht="37.5" customHeight="1">
      <c r="A31" s="13"/>
      <c r="B31" s="14" t="s">
        <v>2004</v>
      </c>
      <c r="C31" s="128">
        <v>29.0</v>
      </c>
      <c r="D31" s="14" t="s">
        <v>73</v>
      </c>
      <c r="E31" s="14" t="s">
        <v>264</v>
      </c>
      <c r="F31" s="128">
        <v>37.0</v>
      </c>
      <c r="G31" s="14" t="s">
        <v>2423</v>
      </c>
      <c r="H31" s="197" t="s">
        <v>4249</v>
      </c>
      <c r="I31" s="197" t="s">
        <v>3891</v>
      </c>
      <c r="J31" s="198" t="s">
        <v>125</v>
      </c>
      <c r="K31" s="198" t="s">
        <v>4338</v>
      </c>
      <c r="L31" s="198" t="s">
        <v>1083</v>
      </c>
      <c r="M31" s="197" t="s">
        <v>4339</v>
      </c>
      <c r="N31" s="128">
        <v>29.0</v>
      </c>
      <c r="O31" s="14" t="s">
        <v>120</v>
      </c>
    </row>
    <row r="32" ht="37.5" customHeight="1">
      <c r="A32" s="128"/>
      <c r="B32" s="128" t="s">
        <v>478</v>
      </c>
      <c r="C32" s="128">
        <v>28.0</v>
      </c>
      <c r="D32" s="128" t="s">
        <v>65</v>
      </c>
      <c r="E32" s="128" t="s">
        <v>2137</v>
      </c>
      <c r="F32" s="128">
        <v>12.0</v>
      </c>
      <c r="G32" s="128" t="s">
        <v>2423</v>
      </c>
      <c r="H32" s="197" t="s">
        <v>4249</v>
      </c>
      <c r="I32" s="197" t="s">
        <v>4340</v>
      </c>
      <c r="J32" s="197" t="s">
        <v>4341</v>
      </c>
      <c r="K32" s="197" t="s">
        <v>4281</v>
      </c>
      <c r="L32" s="197" t="s">
        <v>2472</v>
      </c>
      <c r="M32" s="197" t="s">
        <v>4342</v>
      </c>
      <c r="N32" s="128">
        <v>30.0</v>
      </c>
      <c r="O32" s="128" t="s">
        <v>120</v>
      </c>
    </row>
    <row r="33" ht="37.5" customHeight="1">
      <c r="A33" s="128"/>
      <c r="B33" s="128" t="s">
        <v>800</v>
      </c>
      <c r="C33" s="128">
        <v>26.0</v>
      </c>
      <c r="D33" s="128" t="s">
        <v>157</v>
      </c>
      <c r="E33" s="128" t="s">
        <v>16</v>
      </c>
      <c r="F33" s="128">
        <v>39.0</v>
      </c>
      <c r="G33" s="14" t="s">
        <v>2423</v>
      </c>
      <c r="H33" s="197" t="s">
        <v>4249</v>
      </c>
      <c r="I33" s="197" t="s">
        <v>3891</v>
      </c>
      <c r="J33" s="197" t="s">
        <v>4343</v>
      </c>
      <c r="K33" s="197" t="s">
        <v>4344</v>
      </c>
      <c r="L33" s="197" t="s">
        <v>1087</v>
      </c>
      <c r="M33" s="197" t="s">
        <v>4345</v>
      </c>
      <c r="N33" s="128">
        <v>31.0</v>
      </c>
      <c r="O33" s="14" t="s">
        <v>120</v>
      </c>
    </row>
    <row r="34" ht="37.5" customHeight="1">
      <c r="A34" s="13"/>
      <c r="B34" s="14" t="s">
        <v>874</v>
      </c>
      <c r="C34" s="128">
        <v>29.0</v>
      </c>
      <c r="D34" s="14" t="s">
        <v>65</v>
      </c>
      <c r="E34" s="14" t="s">
        <v>14</v>
      </c>
      <c r="F34" s="128">
        <v>36.0</v>
      </c>
      <c r="G34" s="14" t="s">
        <v>2423</v>
      </c>
      <c r="H34" s="197" t="s">
        <v>4249</v>
      </c>
      <c r="I34" s="197" t="s">
        <v>3760</v>
      </c>
      <c r="J34" s="198" t="s">
        <v>76</v>
      </c>
      <c r="K34" s="198" t="s">
        <v>4346</v>
      </c>
      <c r="L34" s="198" t="s">
        <v>3134</v>
      </c>
      <c r="M34" s="197" t="s">
        <v>4347</v>
      </c>
      <c r="N34" s="128">
        <v>32.0</v>
      </c>
      <c r="O34" s="128" t="s">
        <v>136</v>
      </c>
    </row>
    <row r="35" ht="37.5" customHeight="1">
      <c r="A35" s="13"/>
      <c r="B35" s="14" t="s">
        <v>1336</v>
      </c>
      <c r="C35" s="128">
        <v>14.0</v>
      </c>
      <c r="D35" s="14" t="s">
        <v>94</v>
      </c>
      <c r="E35" s="14" t="s">
        <v>14</v>
      </c>
      <c r="F35" s="128">
        <v>37.0</v>
      </c>
      <c r="G35" s="14" t="s">
        <v>2597</v>
      </c>
      <c r="H35" s="197" t="s">
        <v>4249</v>
      </c>
      <c r="I35" s="197" t="s">
        <v>3891</v>
      </c>
      <c r="J35" s="198" t="s">
        <v>3218</v>
      </c>
      <c r="K35" s="198" t="s">
        <v>4348</v>
      </c>
      <c r="L35" s="198" t="s">
        <v>75</v>
      </c>
      <c r="M35" s="197" t="s">
        <v>4349</v>
      </c>
      <c r="N35" s="128">
        <v>33.0</v>
      </c>
      <c r="O35" s="14" t="s">
        <v>136</v>
      </c>
    </row>
    <row r="36" ht="37.5" customHeight="1">
      <c r="A36" s="13"/>
      <c r="B36" s="14" t="s">
        <v>1334</v>
      </c>
      <c r="C36" s="128">
        <v>29.0</v>
      </c>
      <c r="D36" s="14" t="s">
        <v>94</v>
      </c>
      <c r="E36" s="14" t="s">
        <v>14</v>
      </c>
      <c r="F36" s="128">
        <v>29.0</v>
      </c>
      <c r="G36" s="14" t="s">
        <v>2423</v>
      </c>
      <c r="H36" s="197" t="s">
        <v>4249</v>
      </c>
      <c r="I36" s="197" t="s">
        <v>3760</v>
      </c>
      <c r="J36" s="198" t="s">
        <v>4350</v>
      </c>
      <c r="K36" s="198" t="s">
        <v>4351</v>
      </c>
      <c r="L36" s="198" t="s">
        <v>1059</v>
      </c>
      <c r="M36" s="197" t="s">
        <v>4352</v>
      </c>
      <c r="N36" s="128">
        <v>34.0</v>
      </c>
      <c r="O36" s="14" t="s">
        <v>136</v>
      </c>
    </row>
    <row r="37" ht="37.5" customHeight="1">
      <c r="A37" s="13"/>
      <c r="B37" s="14" t="s">
        <v>1337</v>
      </c>
      <c r="C37" s="128">
        <v>20.0</v>
      </c>
      <c r="D37" s="14" t="s">
        <v>65</v>
      </c>
      <c r="E37" s="14" t="s">
        <v>264</v>
      </c>
      <c r="F37" s="128">
        <v>49.0</v>
      </c>
      <c r="G37" s="14" t="s">
        <v>2597</v>
      </c>
      <c r="H37" s="197" t="s">
        <v>4249</v>
      </c>
      <c r="I37" s="197" t="s">
        <v>3760</v>
      </c>
      <c r="J37" s="198" t="s">
        <v>970</v>
      </c>
      <c r="K37" s="198" t="s">
        <v>4353</v>
      </c>
      <c r="L37" s="198" t="s">
        <v>1085</v>
      </c>
      <c r="M37" s="197" t="s">
        <v>4354</v>
      </c>
      <c r="N37" s="128">
        <v>35.0</v>
      </c>
      <c r="O37" s="128" t="s">
        <v>423</v>
      </c>
    </row>
    <row r="38" ht="37.5" customHeight="1">
      <c r="A38" s="13"/>
      <c r="B38" s="14" t="s">
        <v>1331</v>
      </c>
      <c r="C38" s="128">
        <v>29.0</v>
      </c>
      <c r="D38" s="14" t="s">
        <v>65</v>
      </c>
      <c r="E38" s="14" t="s">
        <v>14</v>
      </c>
      <c r="F38" s="128">
        <v>43.0</v>
      </c>
      <c r="G38" s="14" t="s">
        <v>2423</v>
      </c>
      <c r="H38" s="197" t="s">
        <v>4249</v>
      </c>
      <c r="I38" s="197" t="s">
        <v>3760</v>
      </c>
      <c r="J38" s="198" t="s">
        <v>112</v>
      </c>
      <c r="K38" s="198" t="s">
        <v>4355</v>
      </c>
      <c r="L38" s="198" t="s">
        <v>1072</v>
      </c>
      <c r="M38" s="197" t="s">
        <v>4356</v>
      </c>
      <c r="N38" s="128">
        <v>36.0</v>
      </c>
      <c r="O38" s="14" t="s">
        <v>447</v>
      </c>
    </row>
  </sheetData>
  <autoFilter ref="$A$2:$O$38">
    <sortState ref="A2:O38">
      <sortCondition ref="N2:N38"/>
      <sortCondition ref="B2:B38"/>
    </sortState>
  </autoFilter>
  <mergeCells count="4">
    <mergeCell ref="A1:B1"/>
    <mergeCell ref="C1:G1"/>
    <mergeCell ref="H1:L1"/>
    <mergeCell ref="M1:O1"/>
  </mergeCells>
  <conditionalFormatting sqref="O3:O38">
    <cfRule type="cellIs" dxfId="3" priority="1" operator="equal">
      <formula>"F"</formula>
    </cfRule>
  </conditionalFormatting>
  <conditionalFormatting sqref="O3:O38">
    <cfRule type="cellIs" dxfId="4" priority="2" operator="equal">
      <formula>"E"</formula>
    </cfRule>
  </conditionalFormatting>
  <conditionalFormatting sqref="N3:O38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38">
    <cfRule type="cellIs" dxfId="13" priority="4" operator="equal">
      <formula>"Solar"</formula>
    </cfRule>
  </conditionalFormatting>
  <conditionalFormatting sqref="D3:D38">
    <cfRule type="cellIs" dxfId="20" priority="5" operator="equal">
      <formula>"Arc"</formula>
    </cfRule>
  </conditionalFormatting>
  <conditionalFormatting sqref="D3:D38">
    <cfRule type="cellIs" dxfId="21" priority="6" operator="equal">
      <formula>"Stasis"</formula>
    </cfRule>
  </conditionalFormatting>
  <conditionalFormatting sqref="D3:D38">
    <cfRule type="cellIs" dxfId="18" priority="7" operator="equal">
      <formula>"Void"</formula>
    </cfRule>
  </conditionalFormatting>
  <conditionalFormatting sqref="D3:D38">
    <cfRule type="cellIs" dxfId="17" priority="8" operator="equal">
      <formula>"Strand"</formula>
    </cfRule>
  </conditionalFormatting>
  <conditionalFormatting sqref="G3:G38">
    <cfRule type="cellIs" dxfId="17" priority="9" operator="equal">
      <formula>"Yes"</formula>
    </cfRule>
  </conditionalFormatting>
  <conditionalFormatting sqref="G3:G38">
    <cfRule type="cellIs" dxfId="2" priority="10" operator="equal">
      <formula>"No"</formula>
    </cfRule>
  </conditionalFormatting>
  <conditionalFormatting sqref="O3:O38">
    <cfRule type="cellIs" dxfId="5" priority="11" operator="equal">
      <formula>"S"</formula>
    </cfRule>
  </conditionalFormatting>
  <conditionalFormatting sqref="O3:O38">
    <cfRule type="cellIs" dxfId="6" priority="12" operator="equal">
      <formula>"B"</formula>
    </cfRule>
  </conditionalFormatting>
  <conditionalFormatting sqref="O3:O38">
    <cfRule type="cellIs" dxfId="7" priority="13" operator="equal">
      <formula>"D"</formula>
    </cfRule>
  </conditionalFormatting>
  <conditionalFormatting sqref="O3:O38">
    <cfRule type="cellIs" dxfId="8" priority="14" operator="equal">
      <formula>"C"</formula>
    </cfRule>
  </conditionalFormatting>
  <conditionalFormatting sqref="O3:O38">
    <cfRule type="cellIs" dxfId="9" priority="15" operator="equal">
      <formula>"A"</formula>
    </cfRule>
  </conditionalFormatting>
  <conditionalFormatting sqref="F3:F38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38">
    <cfRule type="expression" dxfId="12" priority="17">
      <formula>$C3=MAX($C$3:$C38)</formula>
    </cfRule>
  </conditionalFormatting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4" t="s">
        <v>763</v>
      </c>
      <c r="C3" s="128">
        <v>29.0</v>
      </c>
      <c r="D3" s="14" t="s">
        <v>73</v>
      </c>
      <c r="E3" s="14" t="s">
        <v>16</v>
      </c>
      <c r="F3" s="128">
        <v>50.0</v>
      </c>
      <c r="G3" s="14" t="s">
        <v>2423</v>
      </c>
      <c r="H3" s="197" t="s">
        <v>3489</v>
      </c>
      <c r="I3" s="197" t="s">
        <v>4357</v>
      </c>
      <c r="J3" s="197" t="s">
        <v>4358</v>
      </c>
      <c r="K3" s="197" t="s">
        <v>4359</v>
      </c>
      <c r="L3" s="197" t="s">
        <v>718</v>
      </c>
      <c r="M3" s="197" t="s">
        <v>4360</v>
      </c>
      <c r="N3" s="128">
        <v>1.0</v>
      </c>
      <c r="O3" s="128" t="s">
        <v>71</v>
      </c>
    </row>
    <row r="4" ht="37.5" customHeight="1">
      <c r="A4" s="128"/>
      <c r="B4" s="128" t="s">
        <v>782</v>
      </c>
      <c r="C4" s="128">
        <v>29.0</v>
      </c>
      <c r="D4" s="128" t="s">
        <v>83</v>
      </c>
      <c r="E4" s="128" t="s">
        <v>13</v>
      </c>
      <c r="F4" s="128">
        <v>47.0</v>
      </c>
      <c r="G4" s="14" t="s">
        <v>2423</v>
      </c>
      <c r="H4" s="197" t="s">
        <v>3489</v>
      </c>
      <c r="I4" s="197" t="s">
        <v>4357</v>
      </c>
      <c r="J4" s="197" t="s">
        <v>962</v>
      </c>
      <c r="K4" s="197" t="s">
        <v>4361</v>
      </c>
      <c r="L4" s="197" t="s">
        <v>2457</v>
      </c>
      <c r="M4" s="197" t="s">
        <v>4362</v>
      </c>
      <c r="N4" s="128">
        <v>2.0</v>
      </c>
      <c r="O4" s="128" t="s">
        <v>71</v>
      </c>
    </row>
    <row r="5" ht="37.5" customHeight="1">
      <c r="A5" s="13"/>
      <c r="B5" s="14" t="s">
        <v>4363</v>
      </c>
      <c r="C5" s="128">
        <v>29.0</v>
      </c>
      <c r="D5" s="14" t="s">
        <v>65</v>
      </c>
      <c r="E5" s="14" t="s">
        <v>13</v>
      </c>
      <c r="F5" s="128">
        <v>34.0</v>
      </c>
      <c r="G5" s="14" t="s">
        <v>2423</v>
      </c>
      <c r="H5" s="197" t="s">
        <v>3489</v>
      </c>
      <c r="I5" s="197" t="s">
        <v>4357</v>
      </c>
      <c r="J5" s="198" t="s">
        <v>962</v>
      </c>
      <c r="K5" s="198" t="s">
        <v>4364</v>
      </c>
      <c r="L5" s="198" t="s">
        <v>2457</v>
      </c>
      <c r="M5" s="197" t="s">
        <v>4365</v>
      </c>
      <c r="N5" s="128">
        <v>3.0</v>
      </c>
      <c r="O5" s="128" t="s">
        <v>71</v>
      </c>
    </row>
    <row r="6" ht="37.5" customHeight="1">
      <c r="A6" s="128"/>
      <c r="B6" s="128" t="s">
        <v>647</v>
      </c>
      <c r="C6" s="128">
        <v>27.0</v>
      </c>
      <c r="D6" s="128" t="s">
        <v>157</v>
      </c>
      <c r="E6" s="128" t="s">
        <v>13</v>
      </c>
      <c r="F6" s="128">
        <v>38.0</v>
      </c>
      <c r="G6" s="14" t="s">
        <v>2423</v>
      </c>
      <c r="H6" s="197" t="s">
        <v>3489</v>
      </c>
      <c r="I6" s="197" t="s">
        <v>4357</v>
      </c>
      <c r="J6" s="197" t="s">
        <v>4366</v>
      </c>
      <c r="K6" s="197" t="s">
        <v>1905</v>
      </c>
      <c r="L6" s="197" t="s">
        <v>2448</v>
      </c>
      <c r="M6" s="197" t="s">
        <v>4367</v>
      </c>
      <c r="N6" s="128">
        <v>4.0</v>
      </c>
      <c r="O6" s="128" t="s">
        <v>71</v>
      </c>
    </row>
    <row r="7" ht="37.5" customHeight="1">
      <c r="A7" s="128"/>
      <c r="B7" s="128" t="s">
        <v>4368</v>
      </c>
      <c r="C7" s="128">
        <v>29.0</v>
      </c>
      <c r="D7" s="128" t="s">
        <v>83</v>
      </c>
      <c r="E7" s="14" t="s">
        <v>16</v>
      </c>
      <c r="F7" s="128">
        <v>22.0</v>
      </c>
      <c r="G7" s="14" t="s">
        <v>2423</v>
      </c>
      <c r="H7" s="197" t="s">
        <v>3489</v>
      </c>
      <c r="I7" s="197" t="s">
        <v>4357</v>
      </c>
      <c r="J7" s="197" t="s">
        <v>4369</v>
      </c>
      <c r="K7" s="197" t="s">
        <v>4364</v>
      </c>
      <c r="L7" s="197" t="s">
        <v>1087</v>
      </c>
      <c r="M7" s="197" t="s">
        <v>4370</v>
      </c>
      <c r="N7" s="128">
        <v>5.0</v>
      </c>
      <c r="O7" s="128" t="s">
        <v>71</v>
      </c>
    </row>
    <row r="8" ht="37.5" customHeight="1">
      <c r="A8" s="128"/>
      <c r="B8" s="14" t="s">
        <v>4371</v>
      </c>
      <c r="C8" s="128">
        <v>29.0</v>
      </c>
      <c r="D8" s="14" t="s">
        <v>94</v>
      </c>
      <c r="E8" s="128" t="s">
        <v>13</v>
      </c>
      <c r="F8" s="128">
        <v>48.0</v>
      </c>
      <c r="G8" s="14" t="s">
        <v>2423</v>
      </c>
      <c r="H8" s="197" t="s">
        <v>3489</v>
      </c>
      <c r="I8" s="197" t="s">
        <v>4357</v>
      </c>
      <c r="J8" s="197" t="s">
        <v>995</v>
      </c>
      <c r="K8" s="197" t="s">
        <v>4372</v>
      </c>
      <c r="L8" s="197" t="s">
        <v>2467</v>
      </c>
      <c r="M8" s="197" t="s">
        <v>4373</v>
      </c>
      <c r="N8" s="128">
        <v>6.0</v>
      </c>
      <c r="O8" s="128" t="s">
        <v>71</v>
      </c>
    </row>
    <row r="9" ht="37.5" customHeight="1">
      <c r="A9" s="13"/>
      <c r="B9" s="14" t="s">
        <v>4374</v>
      </c>
      <c r="C9" s="128">
        <v>29.0</v>
      </c>
      <c r="D9" s="14" t="s">
        <v>73</v>
      </c>
      <c r="E9" s="14" t="s">
        <v>264</v>
      </c>
      <c r="F9" s="128">
        <v>38.0</v>
      </c>
      <c r="G9" s="14" t="s">
        <v>2423</v>
      </c>
      <c r="H9" s="197" t="s">
        <v>3489</v>
      </c>
      <c r="I9" s="197" t="s">
        <v>4357</v>
      </c>
      <c r="J9" s="198" t="s">
        <v>4375</v>
      </c>
      <c r="K9" s="198" t="s">
        <v>4376</v>
      </c>
      <c r="L9" s="198" t="s">
        <v>895</v>
      </c>
      <c r="M9" s="197" t="s">
        <v>4377</v>
      </c>
      <c r="N9" s="128">
        <v>7.0</v>
      </c>
      <c r="O9" s="128" t="s">
        <v>71</v>
      </c>
    </row>
    <row r="10" ht="37.5" customHeight="1">
      <c r="A10" s="13"/>
      <c r="B10" s="14" t="s">
        <v>880</v>
      </c>
      <c r="C10" s="128">
        <v>29.0</v>
      </c>
      <c r="D10" s="14" t="s">
        <v>73</v>
      </c>
      <c r="E10" s="14" t="s">
        <v>13</v>
      </c>
      <c r="F10" s="128">
        <v>33.0</v>
      </c>
      <c r="G10" s="14" t="s">
        <v>2423</v>
      </c>
      <c r="H10" s="197" t="s">
        <v>3489</v>
      </c>
      <c r="I10" s="197" t="s">
        <v>4357</v>
      </c>
      <c r="J10" s="198" t="s">
        <v>4378</v>
      </c>
      <c r="K10" s="198" t="s">
        <v>4379</v>
      </c>
      <c r="L10" s="198" t="s">
        <v>1536</v>
      </c>
      <c r="M10" s="197" t="s">
        <v>4380</v>
      </c>
      <c r="N10" s="128">
        <v>8.0</v>
      </c>
      <c r="O10" s="128" t="s">
        <v>71</v>
      </c>
    </row>
    <row r="11" ht="37.5" customHeight="1">
      <c r="A11" s="13"/>
      <c r="B11" s="14" t="s">
        <v>4381</v>
      </c>
      <c r="C11" s="128">
        <v>26.0</v>
      </c>
      <c r="D11" s="14" t="s">
        <v>157</v>
      </c>
      <c r="E11" s="14" t="s">
        <v>16</v>
      </c>
      <c r="F11" s="128">
        <v>45.0</v>
      </c>
      <c r="G11" s="14" t="s">
        <v>2423</v>
      </c>
      <c r="H11" s="197" t="s">
        <v>3489</v>
      </c>
      <c r="I11" s="197" t="s">
        <v>4357</v>
      </c>
      <c r="J11" s="197" t="s">
        <v>4382</v>
      </c>
      <c r="K11" s="197" t="s">
        <v>4383</v>
      </c>
      <c r="L11" s="198" t="s">
        <v>1522</v>
      </c>
      <c r="M11" s="197" t="s">
        <v>4384</v>
      </c>
      <c r="N11" s="128">
        <v>9.0</v>
      </c>
      <c r="O11" s="128" t="s">
        <v>92</v>
      </c>
    </row>
    <row r="12" ht="37.5" customHeight="1">
      <c r="A12" s="13"/>
      <c r="B12" s="14" t="s">
        <v>4385</v>
      </c>
      <c r="C12" s="128">
        <v>29.0</v>
      </c>
      <c r="D12" s="14" t="s">
        <v>65</v>
      </c>
      <c r="E12" s="14" t="s">
        <v>16</v>
      </c>
      <c r="F12" s="128">
        <v>32.0</v>
      </c>
      <c r="G12" s="14" t="s">
        <v>2423</v>
      </c>
      <c r="H12" s="197" t="s">
        <v>3489</v>
      </c>
      <c r="I12" s="197" t="s">
        <v>4357</v>
      </c>
      <c r="J12" s="198" t="s">
        <v>4386</v>
      </c>
      <c r="K12" s="198" t="s">
        <v>4387</v>
      </c>
      <c r="L12" s="198" t="s">
        <v>2533</v>
      </c>
      <c r="M12" s="197" t="s">
        <v>4388</v>
      </c>
      <c r="N12" s="128">
        <v>11.0</v>
      </c>
      <c r="O12" s="14" t="s">
        <v>92</v>
      </c>
    </row>
    <row r="13" ht="37.5" customHeight="1">
      <c r="A13" s="13"/>
      <c r="B13" s="14" t="s">
        <v>882</v>
      </c>
      <c r="C13" s="128">
        <v>29.0</v>
      </c>
      <c r="D13" s="14" t="s">
        <v>94</v>
      </c>
      <c r="E13" s="14" t="s">
        <v>264</v>
      </c>
      <c r="F13" s="128">
        <v>37.0</v>
      </c>
      <c r="G13" s="14" t="s">
        <v>2423</v>
      </c>
      <c r="H13" s="197" t="s">
        <v>3489</v>
      </c>
      <c r="I13" s="197" t="s">
        <v>4357</v>
      </c>
      <c r="J13" s="197" t="s">
        <v>4389</v>
      </c>
      <c r="K13" s="197" t="s">
        <v>4390</v>
      </c>
      <c r="L13" s="197" t="s">
        <v>1087</v>
      </c>
      <c r="M13" s="197" t="s">
        <v>4391</v>
      </c>
      <c r="N13" s="128">
        <v>10.0</v>
      </c>
      <c r="O13" s="128" t="s">
        <v>92</v>
      </c>
    </row>
    <row r="14" ht="37.5" customHeight="1">
      <c r="A14" s="13"/>
      <c r="B14" s="14" t="s">
        <v>4392</v>
      </c>
      <c r="C14" s="128">
        <v>29.0</v>
      </c>
      <c r="D14" s="14" t="s">
        <v>94</v>
      </c>
      <c r="E14" s="14" t="s">
        <v>16</v>
      </c>
      <c r="F14" s="128">
        <v>35.0</v>
      </c>
      <c r="G14" s="14" t="s">
        <v>2423</v>
      </c>
      <c r="H14" s="197" t="s">
        <v>3489</v>
      </c>
      <c r="I14" s="197" t="s">
        <v>4357</v>
      </c>
      <c r="J14" s="198" t="s">
        <v>4393</v>
      </c>
      <c r="K14" s="198" t="s">
        <v>4394</v>
      </c>
      <c r="L14" s="198" t="s">
        <v>425</v>
      </c>
      <c r="M14" s="197" t="s">
        <v>4395</v>
      </c>
      <c r="N14" s="128">
        <v>12.0</v>
      </c>
      <c r="O14" s="128" t="s">
        <v>92</v>
      </c>
    </row>
    <row r="15" ht="37.5" customHeight="1">
      <c r="A15" s="13"/>
      <c r="B15" s="14" t="s">
        <v>4396</v>
      </c>
      <c r="C15" s="128">
        <v>29.0</v>
      </c>
      <c r="D15" s="14" t="s">
        <v>94</v>
      </c>
      <c r="E15" s="14" t="s">
        <v>13</v>
      </c>
      <c r="F15" s="128">
        <v>36.0</v>
      </c>
      <c r="G15" s="14" t="s">
        <v>2423</v>
      </c>
      <c r="H15" s="197" t="s">
        <v>3489</v>
      </c>
      <c r="I15" s="197" t="s">
        <v>4357</v>
      </c>
      <c r="J15" s="198" t="s">
        <v>4397</v>
      </c>
      <c r="K15" s="198" t="s">
        <v>722</v>
      </c>
      <c r="L15" s="198" t="s">
        <v>1075</v>
      </c>
      <c r="M15" s="197" t="s">
        <v>4398</v>
      </c>
      <c r="N15" s="128">
        <v>13.0</v>
      </c>
      <c r="O15" s="14" t="s">
        <v>92</v>
      </c>
    </row>
    <row r="16" ht="37.5" customHeight="1">
      <c r="A16" s="13"/>
      <c r="B16" s="14" t="s">
        <v>660</v>
      </c>
      <c r="C16" s="128">
        <v>29.0</v>
      </c>
      <c r="D16" s="14" t="s">
        <v>157</v>
      </c>
      <c r="E16" s="14" t="s">
        <v>16</v>
      </c>
      <c r="F16" s="128">
        <v>45.0</v>
      </c>
      <c r="G16" s="14" t="s">
        <v>2423</v>
      </c>
      <c r="H16" s="197" t="s">
        <v>3489</v>
      </c>
      <c r="I16" s="197" t="s">
        <v>4357</v>
      </c>
      <c r="J16" s="197" t="s">
        <v>4399</v>
      </c>
      <c r="K16" s="197" t="s">
        <v>4372</v>
      </c>
      <c r="L16" s="198" t="s">
        <v>1522</v>
      </c>
      <c r="M16" s="197" t="s">
        <v>4400</v>
      </c>
      <c r="N16" s="128">
        <v>14.0</v>
      </c>
      <c r="O16" s="128" t="s">
        <v>92</v>
      </c>
    </row>
    <row r="17" ht="37.5" customHeight="1">
      <c r="A17" s="14"/>
      <c r="B17" s="14" t="s">
        <v>876</v>
      </c>
      <c r="C17" s="128">
        <v>23.0</v>
      </c>
      <c r="D17" s="14" t="s">
        <v>65</v>
      </c>
      <c r="E17" s="14" t="s">
        <v>16</v>
      </c>
      <c r="F17" s="128">
        <v>45.0</v>
      </c>
      <c r="G17" s="14" t="s">
        <v>2423</v>
      </c>
      <c r="H17" s="197" t="s">
        <v>3489</v>
      </c>
      <c r="I17" s="197" t="s">
        <v>4357</v>
      </c>
      <c r="J17" s="198" t="s">
        <v>4401</v>
      </c>
      <c r="K17" s="198" t="s">
        <v>4402</v>
      </c>
      <c r="L17" s="198" t="s">
        <v>1087</v>
      </c>
      <c r="M17" s="197" t="s">
        <v>4403</v>
      </c>
      <c r="N17" s="128">
        <v>15.0</v>
      </c>
      <c r="O17" s="128" t="s">
        <v>120</v>
      </c>
    </row>
    <row r="18" ht="37.5" customHeight="1">
      <c r="A18" s="13"/>
      <c r="B18" s="128" t="s">
        <v>517</v>
      </c>
      <c r="C18" s="128">
        <v>27.0</v>
      </c>
      <c r="D18" s="128" t="s">
        <v>83</v>
      </c>
      <c r="E18" s="14" t="s">
        <v>264</v>
      </c>
      <c r="F18" s="128">
        <v>37.0</v>
      </c>
      <c r="G18" s="14" t="s">
        <v>2423</v>
      </c>
      <c r="H18" s="197" t="s">
        <v>3489</v>
      </c>
      <c r="I18" s="197" t="s">
        <v>4357</v>
      </c>
      <c r="J18" s="197" t="s">
        <v>4404</v>
      </c>
      <c r="K18" s="197" t="s">
        <v>4405</v>
      </c>
      <c r="L18" s="197" t="s">
        <v>1209</v>
      </c>
      <c r="M18" s="197" t="s">
        <v>4406</v>
      </c>
      <c r="N18" s="128">
        <v>16.0</v>
      </c>
      <c r="O18" s="128" t="s">
        <v>120</v>
      </c>
    </row>
    <row r="19" ht="37.5" customHeight="1">
      <c r="A19" s="14"/>
      <c r="B19" s="14" t="s">
        <v>4407</v>
      </c>
      <c r="C19" s="128">
        <v>29.0</v>
      </c>
      <c r="D19" s="14" t="s">
        <v>65</v>
      </c>
      <c r="E19" s="14" t="s">
        <v>264</v>
      </c>
      <c r="F19" s="128">
        <v>36.0</v>
      </c>
      <c r="G19" s="14" t="s">
        <v>2423</v>
      </c>
      <c r="H19" s="197" t="s">
        <v>3489</v>
      </c>
      <c r="I19" s="197" t="s">
        <v>4357</v>
      </c>
      <c r="J19" s="198" t="s">
        <v>186</v>
      </c>
      <c r="K19" s="198" t="s">
        <v>4383</v>
      </c>
      <c r="L19" s="198" t="s">
        <v>422</v>
      </c>
      <c r="M19" s="197" t="s">
        <v>4408</v>
      </c>
      <c r="N19" s="128">
        <v>17.0</v>
      </c>
      <c r="O19" s="128" t="s">
        <v>120</v>
      </c>
    </row>
    <row r="20" ht="37.5" customHeight="1">
      <c r="A20" s="128"/>
      <c r="B20" s="128" t="s">
        <v>531</v>
      </c>
      <c r="C20" s="128">
        <v>27.0</v>
      </c>
      <c r="D20" s="128" t="s">
        <v>94</v>
      </c>
      <c r="E20" s="14" t="s">
        <v>16</v>
      </c>
      <c r="F20" s="128">
        <v>37.0</v>
      </c>
      <c r="G20" s="14" t="s">
        <v>2423</v>
      </c>
      <c r="H20" s="197" t="s">
        <v>3489</v>
      </c>
      <c r="I20" s="197" t="s">
        <v>4357</v>
      </c>
      <c r="J20" s="197" t="s">
        <v>4409</v>
      </c>
      <c r="K20" s="197" t="s">
        <v>4410</v>
      </c>
      <c r="L20" s="197" t="s">
        <v>2692</v>
      </c>
      <c r="M20" s="197" t="s">
        <v>4411</v>
      </c>
      <c r="N20" s="128">
        <v>18.0</v>
      </c>
      <c r="O20" s="128" t="s">
        <v>120</v>
      </c>
    </row>
    <row r="21" ht="37.5" customHeight="1">
      <c r="A21" s="13"/>
      <c r="B21" s="128" t="s">
        <v>1258</v>
      </c>
      <c r="C21" s="128">
        <v>25.0</v>
      </c>
      <c r="D21" s="14" t="s">
        <v>157</v>
      </c>
      <c r="E21" s="128" t="s">
        <v>16</v>
      </c>
      <c r="F21" s="128">
        <v>31.0</v>
      </c>
      <c r="G21" s="14" t="s">
        <v>2423</v>
      </c>
      <c r="H21" s="197" t="s">
        <v>3489</v>
      </c>
      <c r="I21" s="197" t="s">
        <v>4357</v>
      </c>
      <c r="J21" s="197" t="s">
        <v>4412</v>
      </c>
      <c r="K21" s="197" t="s">
        <v>4413</v>
      </c>
      <c r="L21" s="197" t="s">
        <v>1067</v>
      </c>
      <c r="M21" s="197" t="s">
        <v>4414</v>
      </c>
      <c r="N21" s="128">
        <v>19.0</v>
      </c>
      <c r="O21" s="128" t="s">
        <v>120</v>
      </c>
    </row>
    <row r="22" ht="37.5" customHeight="1">
      <c r="A22" s="128"/>
      <c r="B22" s="128" t="s">
        <v>4415</v>
      </c>
      <c r="C22" s="128">
        <v>29.0</v>
      </c>
      <c r="D22" s="128" t="s">
        <v>73</v>
      </c>
      <c r="E22" s="128" t="s">
        <v>17</v>
      </c>
      <c r="F22" s="128">
        <v>42.0</v>
      </c>
      <c r="G22" s="14" t="s">
        <v>2423</v>
      </c>
      <c r="H22" s="197" t="s">
        <v>3489</v>
      </c>
      <c r="I22" s="197" t="s">
        <v>4357</v>
      </c>
      <c r="J22" s="197" t="s">
        <v>4416</v>
      </c>
      <c r="K22" s="197" t="s">
        <v>4361</v>
      </c>
      <c r="L22" s="197" t="s">
        <v>2516</v>
      </c>
      <c r="M22" s="197" t="s">
        <v>4417</v>
      </c>
      <c r="N22" s="128">
        <v>20.0</v>
      </c>
      <c r="O22" s="128" t="s">
        <v>136</v>
      </c>
    </row>
    <row r="23" ht="37.5" customHeight="1">
      <c r="A23" s="128"/>
      <c r="B23" s="128" t="s">
        <v>513</v>
      </c>
      <c r="C23" s="128">
        <v>28.0</v>
      </c>
      <c r="D23" s="128" t="s">
        <v>65</v>
      </c>
      <c r="E23" s="128" t="s">
        <v>17</v>
      </c>
      <c r="F23" s="128">
        <v>41.0</v>
      </c>
      <c r="G23" s="14" t="s">
        <v>2423</v>
      </c>
      <c r="H23" s="197" t="s">
        <v>3489</v>
      </c>
      <c r="I23" s="197" t="s">
        <v>4357</v>
      </c>
      <c r="J23" s="197" t="s">
        <v>4418</v>
      </c>
      <c r="K23" s="197" t="s">
        <v>4419</v>
      </c>
      <c r="L23" s="197" t="s">
        <v>1527</v>
      </c>
      <c r="M23" s="197" t="s">
        <v>4420</v>
      </c>
      <c r="N23" s="128">
        <v>21.0</v>
      </c>
      <c r="O23" s="128" t="s">
        <v>136</v>
      </c>
    </row>
    <row r="24" ht="37.5" customHeight="1">
      <c r="A24" s="13"/>
      <c r="B24" s="14" t="s">
        <v>4421</v>
      </c>
      <c r="C24" s="128">
        <v>29.0</v>
      </c>
      <c r="D24" s="14" t="s">
        <v>73</v>
      </c>
      <c r="E24" s="14" t="s">
        <v>17</v>
      </c>
      <c r="F24" s="128">
        <v>35.0</v>
      </c>
      <c r="G24" s="14" t="s">
        <v>2423</v>
      </c>
      <c r="H24" s="197" t="s">
        <v>3489</v>
      </c>
      <c r="I24" s="197" t="s">
        <v>4357</v>
      </c>
      <c r="J24" s="198" t="s">
        <v>4422</v>
      </c>
      <c r="K24" s="198" t="s">
        <v>4423</v>
      </c>
      <c r="L24" s="198" t="s">
        <v>2543</v>
      </c>
      <c r="M24" s="197" t="s">
        <v>4424</v>
      </c>
      <c r="N24" s="128">
        <v>22.0</v>
      </c>
      <c r="O24" s="128" t="s">
        <v>136</v>
      </c>
    </row>
    <row r="25" ht="37.5" customHeight="1">
      <c r="A25" s="14"/>
      <c r="B25" s="14" t="s">
        <v>4425</v>
      </c>
      <c r="C25" s="128">
        <v>29.0</v>
      </c>
      <c r="D25" s="14" t="s">
        <v>65</v>
      </c>
      <c r="E25" s="14" t="s">
        <v>17</v>
      </c>
      <c r="F25" s="128">
        <v>34.0</v>
      </c>
      <c r="G25" s="14" t="s">
        <v>2423</v>
      </c>
      <c r="H25" s="197" t="s">
        <v>3489</v>
      </c>
      <c r="I25" s="197" t="s">
        <v>4357</v>
      </c>
      <c r="J25" s="198" t="s">
        <v>4426</v>
      </c>
      <c r="K25" s="198" t="s">
        <v>4427</v>
      </c>
      <c r="L25" s="198" t="s">
        <v>2462</v>
      </c>
      <c r="M25" s="197" t="s">
        <v>4424</v>
      </c>
      <c r="N25" s="128">
        <v>23.0</v>
      </c>
      <c r="O25" s="128" t="s">
        <v>136</v>
      </c>
    </row>
    <row r="26" ht="37.5" customHeight="1">
      <c r="A26" s="13"/>
      <c r="B26" s="14" t="s">
        <v>4428</v>
      </c>
      <c r="C26" s="128">
        <v>21.0</v>
      </c>
      <c r="D26" s="14" t="s">
        <v>94</v>
      </c>
      <c r="E26" s="14" t="s">
        <v>264</v>
      </c>
      <c r="F26" s="128">
        <v>38.0</v>
      </c>
      <c r="G26" s="14" t="s">
        <v>2597</v>
      </c>
      <c r="H26" s="197" t="s">
        <v>3489</v>
      </c>
      <c r="I26" s="197" t="s">
        <v>4357</v>
      </c>
      <c r="J26" s="198" t="s">
        <v>4429</v>
      </c>
      <c r="K26" s="198" t="s">
        <v>4430</v>
      </c>
      <c r="L26" s="198" t="s">
        <v>1085</v>
      </c>
      <c r="M26" s="197" t="s">
        <v>4431</v>
      </c>
      <c r="N26" s="128">
        <v>24.0</v>
      </c>
      <c r="O26" s="128" t="s">
        <v>136</v>
      </c>
    </row>
    <row r="27" ht="37.5" customHeight="1">
      <c r="A27" s="13"/>
      <c r="B27" s="14" t="s">
        <v>1392</v>
      </c>
      <c r="C27" s="128">
        <v>29.0</v>
      </c>
      <c r="D27" s="14" t="s">
        <v>94</v>
      </c>
      <c r="E27" s="14" t="s">
        <v>17</v>
      </c>
      <c r="F27" s="128">
        <v>36.0</v>
      </c>
      <c r="G27" s="14" t="s">
        <v>2423</v>
      </c>
      <c r="H27" s="197" t="s">
        <v>3489</v>
      </c>
      <c r="I27" s="197" t="s">
        <v>4357</v>
      </c>
      <c r="J27" s="198" t="s">
        <v>4432</v>
      </c>
      <c r="K27" s="198" t="s">
        <v>4413</v>
      </c>
      <c r="L27" s="198" t="s">
        <v>1077</v>
      </c>
      <c r="M27" s="197" t="s">
        <v>4431</v>
      </c>
      <c r="N27" s="128">
        <v>25.0</v>
      </c>
      <c r="O27" s="128" t="s">
        <v>136</v>
      </c>
    </row>
    <row r="28" ht="37.5" customHeight="1">
      <c r="A28" s="13"/>
      <c r="B28" s="14" t="s">
        <v>1394</v>
      </c>
      <c r="C28" s="128">
        <v>29.0</v>
      </c>
      <c r="D28" s="14" t="s">
        <v>83</v>
      </c>
      <c r="E28" s="14" t="s">
        <v>17</v>
      </c>
      <c r="F28" s="128">
        <v>45.0</v>
      </c>
      <c r="G28" s="14" t="s">
        <v>2423</v>
      </c>
      <c r="H28" s="197" t="s">
        <v>3489</v>
      </c>
      <c r="I28" s="197" t="s">
        <v>4357</v>
      </c>
      <c r="J28" s="198" t="s">
        <v>4433</v>
      </c>
      <c r="K28" s="198" t="s">
        <v>4434</v>
      </c>
      <c r="L28" s="198" t="s">
        <v>1070</v>
      </c>
      <c r="M28" s="197" t="s">
        <v>4431</v>
      </c>
      <c r="N28" s="128">
        <v>26.0</v>
      </c>
      <c r="O28" s="128" t="s">
        <v>136</v>
      </c>
    </row>
    <row r="29" ht="37.5" customHeight="1">
      <c r="A29" s="13"/>
      <c r="B29" s="14" t="s">
        <v>2018</v>
      </c>
      <c r="C29" s="128">
        <v>29.0</v>
      </c>
      <c r="D29" s="14" t="s">
        <v>83</v>
      </c>
      <c r="E29" s="14" t="s">
        <v>264</v>
      </c>
      <c r="F29" s="128">
        <v>40.0</v>
      </c>
      <c r="G29" s="14" t="s">
        <v>2423</v>
      </c>
      <c r="H29" s="197" t="s">
        <v>3489</v>
      </c>
      <c r="I29" s="197" t="s">
        <v>4357</v>
      </c>
      <c r="J29" s="198" t="s">
        <v>125</v>
      </c>
      <c r="K29" s="198" t="s">
        <v>4413</v>
      </c>
      <c r="L29" s="198" t="s">
        <v>1072</v>
      </c>
      <c r="M29" s="197" t="s">
        <v>4435</v>
      </c>
      <c r="N29" s="128">
        <v>27.0</v>
      </c>
      <c r="O29" s="128" t="s">
        <v>136</v>
      </c>
    </row>
    <row r="30" ht="37.5" customHeight="1">
      <c r="A30" s="13"/>
      <c r="B30" s="14" t="s">
        <v>4436</v>
      </c>
      <c r="C30" s="128">
        <v>19.0</v>
      </c>
      <c r="D30" s="14" t="s">
        <v>65</v>
      </c>
      <c r="E30" s="14" t="s">
        <v>13</v>
      </c>
      <c r="F30" s="128">
        <v>29.0</v>
      </c>
      <c r="G30" s="14" t="s">
        <v>2423</v>
      </c>
      <c r="H30" s="197" t="s">
        <v>3489</v>
      </c>
      <c r="I30" s="197" t="s">
        <v>4357</v>
      </c>
      <c r="J30" s="198" t="s">
        <v>4437</v>
      </c>
      <c r="K30" s="198" t="s">
        <v>4438</v>
      </c>
      <c r="L30" s="198" t="s">
        <v>1517</v>
      </c>
      <c r="M30" s="197" t="s">
        <v>4439</v>
      </c>
      <c r="N30" s="128">
        <v>28.0</v>
      </c>
      <c r="O30" s="128" t="s">
        <v>136</v>
      </c>
    </row>
    <row r="31" ht="37.5" customHeight="1">
      <c r="A31" s="13"/>
      <c r="B31" s="14" t="s">
        <v>4440</v>
      </c>
      <c r="C31" s="128">
        <v>29.0</v>
      </c>
      <c r="D31" s="14" t="s">
        <v>157</v>
      </c>
      <c r="E31" s="14" t="s">
        <v>16</v>
      </c>
      <c r="F31" s="128">
        <v>40.0</v>
      </c>
      <c r="G31" s="14" t="s">
        <v>2423</v>
      </c>
      <c r="H31" s="197" t="s">
        <v>3489</v>
      </c>
      <c r="I31" s="197" t="s">
        <v>4357</v>
      </c>
      <c r="J31" s="198" t="s">
        <v>4441</v>
      </c>
      <c r="K31" s="198" t="s">
        <v>4442</v>
      </c>
      <c r="L31" s="198" t="s">
        <v>2645</v>
      </c>
      <c r="M31" s="197" t="s">
        <v>4443</v>
      </c>
      <c r="N31" s="128">
        <v>29.0</v>
      </c>
      <c r="O31" s="14" t="s">
        <v>136</v>
      </c>
    </row>
    <row r="32" ht="37.5" customHeight="1">
      <c r="A32" s="13"/>
      <c r="B32" s="14" t="s">
        <v>4444</v>
      </c>
      <c r="C32" s="128">
        <v>13.0</v>
      </c>
      <c r="D32" s="14" t="s">
        <v>73</v>
      </c>
      <c r="E32" s="14" t="s">
        <v>264</v>
      </c>
      <c r="F32" s="128">
        <v>42.0</v>
      </c>
      <c r="G32" s="14" t="s">
        <v>2597</v>
      </c>
      <c r="H32" s="197" t="s">
        <v>3489</v>
      </c>
      <c r="I32" s="197" t="s">
        <v>4357</v>
      </c>
      <c r="J32" s="198" t="s">
        <v>3218</v>
      </c>
      <c r="K32" s="198" t="s">
        <v>247</v>
      </c>
      <c r="L32" s="198" t="s">
        <v>75</v>
      </c>
      <c r="M32" s="197" t="s">
        <v>4445</v>
      </c>
      <c r="N32" s="128">
        <v>30.0</v>
      </c>
      <c r="O32" s="128" t="s">
        <v>167</v>
      </c>
    </row>
    <row r="33" ht="37.5" customHeight="1">
      <c r="A33" s="13"/>
      <c r="B33" s="14" t="s">
        <v>2020</v>
      </c>
      <c r="C33" s="128">
        <v>29.0</v>
      </c>
      <c r="D33" s="14" t="s">
        <v>157</v>
      </c>
      <c r="E33" s="14" t="s">
        <v>17</v>
      </c>
      <c r="F33" s="128">
        <v>42.0</v>
      </c>
      <c r="G33" s="14" t="s">
        <v>2423</v>
      </c>
      <c r="H33" s="197" t="s">
        <v>3489</v>
      </c>
      <c r="I33" s="197" t="s">
        <v>4357</v>
      </c>
      <c r="J33" s="198" t="s">
        <v>85</v>
      </c>
      <c r="K33" s="198" t="s">
        <v>967</v>
      </c>
      <c r="L33" s="198" t="s">
        <v>1527</v>
      </c>
      <c r="M33" s="197" t="s">
        <v>4446</v>
      </c>
      <c r="N33" s="128">
        <v>31.0</v>
      </c>
      <c r="O33" s="14" t="s">
        <v>167</v>
      </c>
    </row>
    <row r="34" ht="37.5" customHeight="1">
      <c r="A34" s="13"/>
      <c r="B34" s="14" t="s">
        <v>4447</v>
      </c>
      <c r="C34" s="128">
        <v>11.0</v>
      </c>
      <c r="D34" s="14" t="s">
        <v>65</v>
      </c>
      <c r="E34" s="14" t="s">
        <v>13</v>
      </c>
      <c r="F34" s="128">
        <v>25.0</v>
      </c>
      <c r="G34" s="14" t="s">
        <v>2597</v>
      </c>
      <c r="H34" s="197" t="s">
        <v>3489</v>
      </c>
      <c r="I34" s="197" t="s">
        <v>4357</v>
      </c>
      <c r="J34" s="198" t="s">
        <v>4448</v>
      </c>
      <c r="K34" s="198" t="s">
        <v>4449</v>
      </c>
      <c r="L34" s="198" t="s">
        <v>75</v>
      </c>
      <c r="M34" s="197" t="s">
        <v>4450</v>
      </c>
      <c r="N34" s="128">
        <v>32.0</v>
      </c>
      <c r="O34" s="128" t="s">
        <v>167</v>
      </c>
    </row>
    <row r="35" ht="37.5" customHeight="1">
      <c r="A35" s="13"/>
      <c r="B35" s="14" t="s">
        <v>4451</v>
      </c>
      <c r="C35" s="128">
        <v>13.0</v>
      </c>
      <c r="D35" s="14" t="s">
        <v>94</v>
      </c>
      <c r="E35" s="14" t="s">
        <v>17</v>
      </c>
      <c r="F35" s="128">
        <v>45.0</v>
      </c>
      <c r="G35" s="14" t="s">
        <v>2597</v>
      </c>
      <c r="H35" s="197" t="s">
        <v>3489</v>
      </c>
      <c r="I35" s="197" t="s">
        <v>4357</v>
      </c>
      <c r="J35" s="198" t="s">
        <v>4448</v>
      </c>
      <c r="K35" s="198" t="s">
        <v>4452</v>
      </c>
      <c r="L35" s="198" t="s">
        <v>1085</v>
      </c>
      <c r="M35" s="197" t="s">
        <v>4453</v>
      </c>
      <c r="N35" s="128">
        <v>33.0</v>
      </c>
      <c r="O35" s="14" t="s">
        <v>423</v>
      </c>
    </row>
    <row r="36" ht="37.5" customHeight="1">
      <c r="A36" s="13"/>
      <c r="B36" s="14" t="s">
        <v>4454</v>
      </c>
      <c r="C36" s="128">
        <v>7.0</v>
      </c>
      <c r="D36" s="14" t="s">
        <v>65</v>
      </c>
      <c r="E36" s="14" t="s">
        <v>13</v>
      </c>
      <c r="F36" s="128">
        <v>38.0</v>
      </c>
      <c r="G36" s="14" t="s">
        <v>2597</v>
      </c>
      <c r="H36" s="197" t="s">
        <v>3489</v>
      </c>
      <c r="I36" s="197" t="s">
        <v>4357</v>
      </c>
      <c r="J36" s="198" t="s">
        <v>4448</v>
      </c>
      <c r="K36" s="198" t="s">
        <v>269</v>
      </c>
      <c r="L36" s="198" t="s">
        <v>75</v>
      </c>
      <c r="M36" s="197" t="s">
        <v>4455</v>
      </c>
      <c r="N36" s="128">
        <v>34.0</v>
      </c>
      <c r="O36" s="128" t="s">
        <v>447</v>
      </c>
    </row>
  </sheetData>
  <autoFilter ref="$A$2:$O$36">
    <sortState ref="A2:O36">
      <sortCondition ref="N2:N36"/>
      <sortCondition ref="B2:B36"/>
    </sortState>
  </autoFilter>
  <mergeCells count="4">
    <mergeCell ref="A1:B1"/>
    <mergeCell ref="C1:G1"/>
    <mergeCell ref="H1:L1"/>
    <mergeCell ref="M1:O1"/>
  </mergeCells>
  <conditionalFormatting sqref="O12 O15 O24:O25 O35:O36">
    <cfRule type="cellIs" dxfId="3" priority="1" operator="equal">
      <formula>"F"</formula>
    </cfRule>
  </conditionalFormatting>
  <conditionalFormatting sqref="O12 O15 O24:O25 O35:O36">
    <cfRule type="cellIs" dxfId="4" priority="2" operator="equal">
      <formula>"E"</formula>
    </cfRule>
  </conditionalFormatting>
  <conditionalFormatting sqref="N3:O36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36">
    <cfRule type="cellIs" dxfId="13" priority="4" operator="equal">
      <formula>"Solar"</formula>
    </cfRule>
  </conditionalFormatting>
  <conditionalFormatting sqref="D3:D36">
    <cfRule type="cellIs" dxfId="20" priority="5" operator="equal">
      <formula>"Arc"</formula>
    </cfRule>
  </conditionalFormatting>
  <conditionalFormatting sqref="D3:D36">
    <cfRule type="cellIs" dxfId="21" priority="6" operator="equal">
      <formula>"Stasis"</formula>
    </cfRule>
  </conditionalFormatting>
  <conditionalFormatting sqref="D3:D36">
    <cfRule type="cellIs" dxfId="18" priority="7" operator="equal">
      <formula>"Void"</formula>
    </cfRule>
  </conditionalFormatting>
  <conditionalFormatting sqref="D3:D36">
    <cfRule type="cellIs" dxfId="17" priority="8" operator="equal">
      <formula>"Strand"</formula>
    </cfRule>
  </conditionalFormatting>
  <conditionalFormatting sqref="G3:G36">
    <cfRule type="cellIs" dxfId="17" priority="9" operator="equal">
      <formula>"Yes"</formula>
    </cfRule>
  </conditionalFormatting>
  <conditionalFormatting sqref="G3:G36">
    <cfRule type="cellIs" dxfId="2" priority="10" operator="equal">
      <formula>"No"</formula>
    </cfRule>
  </conditionalFormatting>
  <conditionalFormatting sqref="O3:O36">
    <cfRule type="cellIs" dxfId="5" priority="11" operator="equal">
      <formula>"S"</formula>
    </cfRule>
  </conditionalFormatting>
  <conditionalFormatting sqref="O3:O36">
    <cfRule type="cellIs" dxfId="6" priority="12" operator="equal">
      <formula>"B"</formula>
    </cfRule>
  </conditionalFormatting>
  <conditionalFormatting sqref="O3:O36">
    <cfRule type="cellIs" dxfId="7" priority="13" operator="equal">
      <formula>"D"</formula>
    </cfRule>
  </conditionalFormatting>
  <conditionalFormatting sqref="O3:O36">
    <cfRule type="cellIs" dxfId="8" priority="14" operator="equal">
      <formula>"C"</formula>
    </cfRule>
  </conditionalFormatting>
  <conditionalFormatting sqref="O3:O36">
    <cfRule type="cellIs" dxfId="9" priority="15" operator="equal">
      <formula>"A"</formula>
    </cfRule>
  </conditionalFormatting>
  <conditionalFormatting sqref="F3:F36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3:C36">
    <cfRule type="expression" dxfId="12" priority="17">
      <formula>$C3=MAX($C$3:$C36)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5"/>
    <col customWidth="1" min="6" max="6" width="8.25"/>
    <col customWidth="1" min="7" max="7" width="8.13"/>
    <col customWidth="1" min="8" max="8" width="5.88"/>
    <col customWidth="1" min="9" max="10" width="16.38"/>
    <col customWidth="1" min="11" max="12" width="20.13"/>
    <col customWidth="1" min="13" max="13" width="12.38"/>
    <col customWidth="1" min="14" max="14" width="18.88"/>
    <col customWidth="1" min="15" max="15" width="7.5"/>
    <col customWidth="1" min="16" max="16" width="7.38"/>
  </cols>
  <sheetData>
    <row r="1" ht="15.0" customHeight="1">
      <c r="A1" s="190" t="s">
        <v>47</v>
      </c>
      <c r="C1" s="191" t="s">
        <v>1979</v>
      </c>
      <c r="I1" s="192" t="s">
        <v>181</v>
      </c>
      <c r="N1" s="193" t="s">
        <v>2061</v>
      </c>
    </row>
    <row r="2" ht="22.5" customHeight="1">
      <c r="A2" s="11" t="s">
        <v>1781</v>
      </c>
      <c r="B2" s="194" t="s">
        <v>54</v>
      </c>
      <c r="C2" s="194" t="s">
        <v>2415</v>
      </c>
      <c r="D2" s="194" t="s">
        <v>191</v>
      </c>
      <c r="E2" s="194" t="s">
        <v>55</v>
      </c>
      <c r="F2" s="194" t="s">
        <v>4456</v>
      </c>
      <c r="G2" s="194" t="s">
        <v>4457</v>
      </c>
      <c r="H2" s="194" t="s">
        <v>2416</v>
      </c>
      <c r="I2" s="194" t="s">
        <v>2417</v>
      </c>
      <c r="J2" s="194" t="s">
        <v>2418</v>
      </c>
      <c r="K2" s="194" t="s">
        <v>2419</v>
      </c>
      <c r="L2" s="194" t="s">
        <v>2420</v>
      </c>
      <c r="M2" s="194" t="s">
        <v>2421</v>
      </c>
      <c r="N2" s="194" t="s">
        <v>421</v>
      </c>
      <c r="O2" s="196" t="s">
        <v>2422</v>
      </c>
      <c r="P2" s="196" t="s">
        <v>63</v>
      </c>
    </row>
    <row r="3" ht="37.5" customHeight="1">
      <c r="A3" s="13"/>
      <c r="B3" s="14" t="s">
        <v>1254</v>
      </c>
      <c r="C3" s="128">
        <v>29.0</v>
      </c>
      <c r="D3" s="14" t="s">
        <v>157</v>
      </c>
      <c r="E3" s="14" t="s">
        <v>13</v>
      </c>
      <c r="F3" s="14">
        <v>20.0</v>
      </c>
      <c r="G3" s="14">
        <v>60.0</v>
      </c>
      <c r="H3" s="14" t="s">
        <v>2423</v>
      </c>
      <c r="I3" s="197" t="s">
        <v>4458</v>
      </c>
      <c r="J3" s="197" t="s">
        <v>4459</v>
      </c>
      <c r="K3" s="198" t="s">
        <v>4460</v>
      </c>
      <c r="L3" s="198" t="s">
        <v>4460</v>
      </c>
      <c r="M3" s="198" t="s">
        <v>1530</v>
      </c>
      <c r="N3" s="197" t="s">
        <v>4461</v>
      </c>
      <c r="O3" s="128">
        <v>1.0</v>
      </c>
      <c r="P3" s="128" t="s">
        <v>71</v>
      </c>
    </row>
    <row r="4" ht="37.5" customHeight="1">
      <c r="A4" s="13"/>
      <c r="B4" s="128" t="s">
        <v>649</v>
      </c>
      <c r="C4" s="128">
        <v>27.0</v>
      </c>
      <c r="D4" s="128" t="s">
        <v>73</v>
      </c>
      <c r="E4" s="14" t="s">
        <v>40</v>
      </c>
      <c r="F4" s="128">
        <v>50.0</v>
      </c>
      <c r="G4" s="128">
        <v>62.0</v>
      </c>
      <c r="H4" s="14" t="s">
        <v>2423</v>
      </c>
      <c r="I4" s="197" t="s">
        <v>4458</v>
      </c>
      <c r="J4" s="197" t="s">
        <v>4459</v>
      </c>
      <c r="K4" s="197" t="s">
        <v>1840</v>
      </c>
      <c r="L4" s="197" t="s">
        <v>1841</v>
      </c>
      <c r="M4" s="197" t="s">
        <v>2692</v>
      </c>
      <c r="N4" s="197" t="s">
        <v>4462</v>
      </c>
      <c r="O4" s="128">
        <v>2.0</v>
      </c>
      <c r="P4" s="14" t="s">
        <v>71</v>
      </c>
    </row>
    <row r="5" ht="37.5" customHeight="1">
      <c r="A5" s="13"/>
      <c r="B5" s="14" t="s">
        <v>4463</v>
      </c>
      <c r="C5" s="128">
        <v>29.0</v>
      </c>
      <c r="D5" s="14" t="s">
        <v>157</v>
      </c>
      <c r="E5" s="14" t="s">
        <v>25</v>
      </c>
      <c r="F5" s="14">
        <v>20.0</v>
      </c>
      <c r="G5" s="14">
        <v>60.0</v>
      </c>
      <c r="H5" s="14" t="s">
        <v>2423</v>
      </c>
      <c r="I5" s="197" t="s">
        <v>4458</v>
      </c>
      <c r="J5" s="197" t="s">
        <v>4459</v>
      </c>
      <c r="K5" s="198" t="s">
        <v>4464</v>
      </c>
      <c r="L5" s="198" t="s">
        <v>4465</v>
      </c>
      <c r="M5" s="198" t="s">
        <v>2457</v>
      </c>
      <c r="N5" s="197" t="s">
        <v>4466</v>
      </c>
      <c r="O5" s="128">
        <v>3.0</v>
      </c>
      <c r="P5" s="14" t="s">
        <v>71</v>
      </c>
    </row>
    <row r="6" ht="37.5" customHeight="1">
      <c r="A6" s="13"/>
      <c r="B6" s="14" t="s">
        <v>1345</v>
      </c>
      <c r="C6" s="128">
        <v>29.0</v>
      </c>
      <c r="D6" s="14" t="s">
        <v>73</v>
      </c>
      <c r="E6" s="14" t="s">
        <v>25</v>
      </c>
      <c r="F6" s="14">
        <v>20.0</v>
      </c>
      <c r="G6" s="14">
        <v>60.0</v>
      </c>
      <c r="H6" s="14" t="s">
        <v>2423</v>
      </c>
      <c r="I6" s="197" t="s">
        <v>4458</v>
      </c>
      <c r="J6" s="197" t="s">
        <v>4459</v>
      </c>
      <c r="K6" s="198" t="s">
        <v>4467</v>
      </c>
      <c r="L6" s="198" t="s">
        <v>4468</v>
      </c>
      <c r="M6" s="198" t="s">
        <v>1539</v>
      </c>
      <c r="N6" s="197" t="s">
        <v>4469</v>
      </c>
      <c r="O6" s="128">
        <v>4.0</v>
      </c>
      <c r="P6" s="14" t="s">
        <v>71</v>
      </c>
    </row>
    <row r="7" ht="37.5" customHeight="1">
      <c r="A7" s="128"/>
      <c r="B7" s="128" t="s">
        <v>486</v>
      </c>
      <c r="C7" s="128">
        <v>28.0</v>
      </c>
      <c r="D7" s="128" t="s">
        <v>94</v>
      </c>
      <c r="E7" s="128" t="s">
        <v>24</v>
      </c>
      <c r="F7" s="128">
        <v>50.0</v>
      </c>
      <c r="G7" s="128">
        <v>62.0</v>
      </c>
      <c r="H7" s="14" t="s">
        <v>2423</v>
      </c>
      <c r="I7" s="197" t="s">
        <v>4458</v>
      </c>
      <c r="J7" s="197" t="s">
        <v>4459</v>
      </c>
      <c r="K7" s="197" t="s">
        <v>4470</v>
      </c>
      <c r="L7" s="197" t="s">
        <v>4471</v>
      </c>
      <c r="M7" s="197" t="s">
        <v>2472</v>
      </c>
      <c r="N7" s="197" t="s">
        <v>4472</v>
      </c>
      <c r="O7" s="128">
        <v>5.0</v>
      </c>
      <c r="P7" s="128" t="s">
        <v>71</v>
      </c>
    </row>
    <row r="8" ht="37.5" customHeight="1">
      <c r="A8" s="14"/>
      <c r="B8" s="14" t="s">
        <v>4473</v>
      </c>
      <c r="C8" s="128">
        <v>29.0</v>
      </c>
      <c r="D8" s="128" t="s">
        <v>73</v>
      </c>
      <c r="E8" s="128" t="s">
        <v>24</v>
      </c>
      <c r="F8" s="128">
        <v>50.0</v>
      </c>
      <c r="G8" s="14">
        <v>58.0</v>
      </c>
      <c r="H8" s="14" t="s">
        <v>2423</v>
      </c>
      <c r="I8" s="197" t="s">
        <v>4458</v>
      </c>
      <c r="J8" s="197" t="s">
        <v>4459</v>
      </c>
      <c r="K8" s="198" t="s">
        <v>4474</v>
      </c>
      <c r="L8" s="198" t="s">
        <v>4475</v>
      </c>
      <c r="M8" s="198" t="s">
        <v>2600</v>
      </c>
      <c r="N8" s="197" t="s">
        <v>4476</v>
      </c>
      <c r="O8" s="128">
        <v>6.0</v>
      </c>
      <c r="P8" s="14" t="s">
        <v>71</v>
      </c>
    </row>
    <row r="9" ht="37.5" customHeight="1">
      <c r="A9" s="13"/>
      <c r="B9" s="14" t="s">
        <v>4087</v>
      </c>
      <c r="C9" s="128">
        <v>29.0</v>
      </c>
      <c r="D9" s="14" t="s">
        <v>65</v>
      </c>
      <c r="E9" s="14" t="s">
        <v>13</v>
      </c>
      <c r="F9" s="14">
        <v>70.0</v>
      </c>
      <c r="G9" s="14">
        <v>70.0</v>
      </c>
      <c r="H9" s="14" t="s">
        <v>2423</v>
      </c>
      <c r="I9" s="197" t="s">
        <v>4458</v>
      </c>
      <c r="J9" s="197" t="s">
        <v>4459</v>
      </c>
      <c r="K9" s="198" t="s">
        <v>4477</v>
      </c>
      <c r="L9" s="198" t="s">
        <v>4478</v>
      </c>
      <c r="M9" s="198" t="s">
        <v>1519</v>
      </c>
      <c r="N9" s="197" t="s">
        <v>4479</v>
      </c>
      <c r="O9" s="128">
        <v>7.0</v>
      </c>
      <c r="P9" s="14" t="s">
        <v>71</v>
      </c>
    </row>
    <row r="10" ht="37.5" customHeight="1">
      <c r="A10" s="13"/>
      <c r="B10" s="128" t="s">
        <v>651</v>
      </c>
      <c r="C10" s="128">
        <v>27.0</v>
      </c>
      <c r="D10" s="14" t="s">
        <v>157</v>
      </c>
      <c r="E10" s="14" t="s">
        <v>40</v>
      </c>
      <c r="F10" s="128">
        <v>50.0</v>
      </c>
      <c r="G10" s="128">
        <v>62.0</v>
      </c>
      <c r="H10" s="14" t="s">
        <v>2423</v>
      </c>
      <c r="I10" s="197" t="s">
        <v>4458</v>
      </c>
      <c r="J10" s="197" t="s">
        <v>4459</v>
      </c>
      <c r="K10" s="197" t="s">
        <v>4480</v>
      </c>
      <c r="L10" s="197" t="s">
        <v>4481</v>
      </c>
      <c r="M10" s="197" t="s">
        <v>2543</v>
      </c>
      <c r="N10" s="197" t="s">
        <v>4482</v>
      </c>
      <c r="O10" s="128">
        <v>8.0</v>
      </c>
      <c r="P10" s="128" t="s">
        <v>92</v>
      </c>
    </row>
    <row r="11" ht="37.5" customHeight="1">
      <c r="A11" s="13"/>
      <c r="B11" s="14" t="s">
        <v>1343</v>
      </c>
      <c r="C11" s="128">
        <v>29.0</v>
      </c>
      <c r="D11" s="14" t="s">
        <v>65</v>
      </c>
      <c r="E11" s="14" t="s">
        <v>40</v>
      </c>
      <c r="F11" s="14">
        <v>20.0</v>
      </c>
      <c r="G11" s="14">
        <v>60.0</v>
      </c>
      <c r="H11" s="14" t="s">
        <v>2423</v>
      </c>
      <c r="I11" s="197" t="s">
        <v>4458</v>
      </c>
      <c r="J11" s="197" t="s">
        <v>4459</v>
      </c>
      <c r="K11" s="198" t="s">
        <v>4483</v>
      </c>
      <c r="L11" s="198" t="s">
        <v>4484</v>
      </c>
      <c r="M11" s="198" t="s">
        <v>1063</v>
      </c>
      <c r="N11" s="197" t="s">
        <v>4485</v>
      </c>
      <c r="O11" s="128">
        <v>9.0</v>
      </c>
      <c r="P11" s="128" t="s">
        <v>92</v>
      </c>
    </row>
    <row r="12" ht="37.5" customHeight="1">
      <c r="A12" s="128"/>
      <c r="B12" s="128" t="s">
        <v>791</v>
      </c>
      <c r="C12" s="128">
        <v>29.0</v>
      </c>
      <c r="D12" s="14" t="s">
        <v>83</v>
      </c>
      <c r="E12" s="14" t="s">
        <v>40</v>
      </c>
      <c r="F12" s="128">
        <v>20.0</v>
      </c>
      <c r="G12" s="128">
        <v>60.0</v>
      </c>
      <c r="H12" s="14" t="s">
        <v>2423</v>
      </c>
      <c r="I12" s="197" t="s">
        <v>4458</v>
      </c>
      <c r="J12" s="197" t="s">
        <v>4459</v>
      </c>
      <c r="K12" s="197" t="s">
        <v>4486</v>
      </c>
      <c r="L12" s="197" t="s">
        <v>4487</v>
      </c>
      <c r="M12" s="197" t="s">
        <v>716</v>
      </c>
      <c r="N12" s="197" t="s">
        <v>4488</v>
      </c>
      <c r="O12" s="128">
        <v>10.0</v>
      </c>
      <c r="P12" s="128" t="s">
        <v>92</v>
      </c>
    </row>
    <row r="13" ht="37.5" customHeight="1">
      <c r="A13" s="13"/>
      <c r="B13" s="14" t="s">
        <v>1349</v>
      </c>
      <c r="C13" s="128">
        <v>22.0</v>
      </c>
      <c r="D13" s="14" t="s">
        <v>94</v>
      </c>
      <c r="E13" s="14" t="s">
        <v>13</v>
      </c>
      <c r="F13" s="14">
        <v>47.0</v>
      </c>
      <c r="G13" s="14">
        <v>62.0</v>
      </c>
      <c r="H13" s="14" t="s">
        <v>2423</v>
      </c>
      <c r="I13" s="197" t="s">
        <v>4458</v>
      </c>
      <c r="J13" s="197" t="s">
        <v>4459</v>
      </c>
      <c r="K13" s="198" t="s">
        <v>693</v>
      </c>
      <c r="L13" s="198" t="s">
        <v>1052</v>
      </c>
      <c r="M13" s="198" t="s">
        <v>1509</v>
      </c>
      <c r="N13" s="197" t="s">
        <v>4489</v>
      </c>
      <c r="O13" s="128">
        <v>11.0</v>
      </c>
      <c r="P13" s="14" t="s">
        <v>92</v>
      </c>
    </row>
    <row r="14" ht="37.5" customHeight="1">
      <c r="A14" s="13"/>
      <c r="B14" s="14" t="s">
        <v>4490</v>
      </c>
      <c r="C14" s="128">
        <v>23.0</v>
      </c>
      <c r="D14" s="14" t="s">
        <v>94</v>
      </c>
      <c r="E14" s="14" t="s">
        <v>25</v>
      </c>
      <c r="F14" s="14">
        <v>20.0</v>
      </c>
      <c r="G14" s="14">
        <v>60.0</v>
      </c>
      <c r="H14" s="14" t="s">
        <v>2423</v>
      </c>
      <c r="I14" s="197" t="s">
        <v>4458</v>
      </c>
      <c r="J14" s="197" t="s">
        <v>4459</v>
      </c>
      <c r="K14" s="198" t="s">
        <v>4491</v>
      </c>
      <c r="L14" s="198" t="s">
        <v>4492</v>
      </c>
      <c r="M14" s="198" t="s">
        <v>2779</v>
      </c>
      <c r="N14" s="197" t="s">
        <v>4493</v>
      </c>
      <c r="O14" s="128">
        <v>12.0</v>
      </c>
      <c r="P14" s="128" t="s">
        <v>92</v>
      </c>
    </row>
    <row r="15" ht="37.5" customHeight="1">
      <c r="A15" s="13"/>
      <c r="B15" s="14" t="s">
        <v>1353</v>
      </c>
      <c r="C15" s="128">
        <v>29.0</v>
      </c>
      <c r="D15" s="14" t="s">
        <v>157</v>
      </c>
      <c r="E15" s="14" t="s">
        <v>22</v>
      </c>
      <c r="F15" s="14">
        <v>52.0</v>
      </c>
      <c r="G15" s="14">
        <v>60.0</v>
      </c>
      <c r="H15" s="14" t="s">
        <v>2423</v>
      </c>
      <c r="I15" s="197" t="s">
        <v>4458</v>
      </c>
      <c r="J15" s="197" t="s">
        <v>4459</v>
      </c>
      <c r="K15" s="198" t="s">
        <v>4494</v>
      </c>
      <c r="L15" s="198" t="s">
        <v>4495</v>
      </c>
      <c r="M15" s="198" t="s">
        <v>1077</v>
      </c>
      <c r="N15" s="197" t="s">
        <v>4496</v>
      </c>
      <c r="O15" s="128">
        <v>13.0</v>
      </c>
      <c r="P15" s="14" t="s">
        <v>92</v>
      </c>
    </row>
    <row r="16" ht="37.5" customHeight="1">
      <c r="A16" s="13"/>
      <c r="B16" s="14" t="s">
        <v>1362</v>
      </c>
      <c r="C16" s="128">
        <v>29.0</v>
      </c>
      <c r="D16" s="14" t="s">
        <v>65</v>
      </c>
      <c r="E16" s="14" t="s">
        <v>24</v>
      </c>
      <c r="F16" s="14">
        <v>20.0</v>
      </c>
      <c r="G16" s="14">
        <v>60.0</v>
      </c>
      <c r="H16" s="14" t="s">
        <v>2423</v>
      </c>
      <c r="I16" s="197" t="s">
        <v>4458</v>
      </c>
      <c r="J16" s="197" t="s">
        <v>4459</v>
      </c>
      <c r="K16" s="198" t="s">
        <v>4497</v>
      </c>
      <c r="L16" s="198" t="s">
        <v>4498</v>
      </c>
      <c r="M16" s="198" t="s">
        <v>2486</v>
      </c>
      <c r="N16" s="197" t="s">
        <v>4499</v>
      </c>
      <c r="O16" s="128">
        <v>14.0</v>
      </c>
      <c r="P16" s="128" t="s">
        <v>92</v>
      </c>
    </row>
    <row r="17" ht="37.5" customHeight="1">
      <c r="A17" s="13"/>
      <c r="B17" s="14" t="s">
        <v>1367</v>
      </c>
      <c r="C17" s="128">
        <v>29.0</v>
      </c>
      <c r="D17" s="14" t="s">
        <v>73</v>
      </c>
      <c r="E17" s="14" t="s">
        <v>22</v>
      </c>
      <c r="F17" s="14">
        <v>50.0</v>
      </c>
      <c r="G17" s="14">
        <v>60.0</v>
      </c>
      <c r="H17" s="14" t="s">
        <v>2423</v>
      </c>
      <c r="I17" s="197" t="s">
        <v>4458</v>
      </c>
      <c r="J17" s="197" t="s">
        <v>4459</v>
      </c>
      <c r="K17" s="198" t="s">
        <v>4500</v>
      </c>
      <c r="L17" s="198" t="s">
        <v>4501</v>
      </c>
      <c r="M17" s="198" t="s">
        <v>2489</v>
      </c>
      <c r="N17" s="197" t="s">
        <v>4502</v>
      </c>
      <c r="O17" s="128">
        <v>15.0</v>
      </c>
      <c r="P17" s="14" t="s">
        <v>92</v>
      </c>
    </row>
    <row r="18" ht="37.5" customHeight="1">
      <c r="A18" s="13"/>
      <c r="B18" s="14" t="s">
        <v>1356</v>
      </c>
      <c r="C18" s="128">
        <v>29.0</v>
      </c>
      <c r="D18" s="14" t="s">
        <v>94</v>
      </c>
      <c r="E18" s="14" t="s">
        <v>22</v>
      </c>
      <c r="F18" s="14">
        <v>50.0</v>
      </c>
      <c r="G18" s="14">
        <v>60.0</v>
      </c>
      <c r="H18" s="14" t="s">
        <v>2423</v>
      </c>
      <c r="I18" s="197" t="s">
        <v>4458</v>
      </c>
      <c r="J18" s="197" t="s">
        <v>4459</v>
      </c>
      <c r="K18" s="198" t="s">
        <v>4503</v>
      </c>
      <c r="L18" s="198" t="s">
        <v>4504</v>
      </c>
      <c r="M18" s="198" t="s">
        <v>2543</v>
      </c>
      <c r="N18" s="197" t="s">
        <v>4505</v>
      </c>
      <c r="O18" s="128">
        <v>16.0</v>
      </c>
      <c r="P18" s="14" t="s">
        <v>92</v>
      </c>
    </row>
    <row r="19" ht="37.5" customHeight="1">
      <c r="A19" s="13"/>
      <c r="B19" s="14" t="s">
        <v>1364</v>
      </c>
      <c r="C19" s="128">
        <v>29.0</v>
      </c>
      <c r="D19" s="14" t="s">
        <v>65</v>
      </c>
      <c r="E19" s="14" t="s">
        <v>22</v>
      </c>
      <c r="F19" s="14">
        <v>20.0</v>
      </c>
      <c r="G19" s="14">
        <v>60.0</v>
      </c>
      <c r="H19" s="14" t="s">
        <v>2423</v>
      </c>
      <c r="I19" s="197" t="s">
        <v>4458</v>
      </c>
      <c r="J19" s="197" t="s">
        <v>4459</v>
      </c>
      <c r="K19" s="198" t="s">
        <v>4500</v>
      </c>
      <c r="L19" s="198" t="s">
        <v>4506</v>
      </c>
      <c r="M19" s="198" t="s">
        <v>2533</v>
      </c>
      <c r="N19" s="197" t="s">
        <v>4507</v>
      </c>
      <c r="O19" s="128">
        <v>17.0</v>
      </c>
      <c r="P19" s="14" t="s">
        <v>92</v>
      </c>
    </row>
    <row r="20" ht="37.5" customHeight="1">
      <c r="A20" s="14"/>
      <c r="B20" s="128" t="s">
        <v>4508</v>
      </c>
      <c r="C20" s="128">
        <v>29.0</v>
      </c>
      <c r="D20" s="128" t="s">
        <v>65</v>
      </c>
      <c r="E20" s="14" t="s">
        <v>13</v>
      </c>
      <c r="F20" s="128">
        <v>50.0</v>
      </c>
      <c r="G20" s="128">
        <v>62.0</v>
      </c>
      <c r="H20" s="14" t="s">
        <v>2423</v>
      </c>
      <c r="I20" s="197" t="s">
        <v>4458</v>
      </c>
      <c r="J20" s="197" t="s">
        <v>4459</v>
      </c>
      <c r="K20" s="197" t="s">
        <v>1840</v>
      </c>
      <c r="L20" s="197" t="s">
        <v>4509</v>
      </c>
      <c r="M20" s="197" t="s">
        <v>2538</v>
      </c>
      <c r="N20" s="197" t="s">
        <v>4510</v>
      </c>
      <c r="O20" s="128">
        <v>18.0</v>
      </c>
      <c r="P20" s="14" t="s">
        <v>92</v>
      </c>
    </row>
    <row r="21" ht="37.5" customHeight="1">
      <c r="A21" s="13"/>
      <c r="B21" s="14" t="s">
        <v>1355</v>
      </c>
      <c r="C21" s="128">
        <v>29.0</v>
      </c>
      <c r="D21" s="14" t="s">
        <v>73</v>
      </c>
      <c r="E21" s="14" t="s">
        <v>13</v>
      </c>
      <c r="F21" s="14">
        <v>20.0</v>
      </c>
      <c r="G21" s="14">
        <v>60.0</v>
      </c>
      <c r="H21" s="14" t="s">
        <v>2423</v>
      </c>
      <c r="I21" s="197" t="s">
        <v>4458</v>
      </c>
      <c r="J21" s="197" t="s">
        <v>4459</v>
      </c>
      <c r="K21" s="198" t="s">
        <v>4497</v>
      </c>
      <c r="L21" s="198" t="s">
        <v>4511</v>
      </c>
      <c r="M21" s="198" t="s">
        <v>422</v>
      </c>
      <c r="N21" s="197" t="s">
        <v>4512</v>
      </c>
      <c r="O21" s="128">
        <v>19.0</v>
      </c>
      <c r="P21" s="14" t="s">
        <v>92</v>
      </c>
    </row>
    <row r="22" ht="37.5" customHeight="1">
      <c r="A22" s="13"/>
      <c r="B22" s="14" t="s">
        <v>2007</v>
      </c>
      <c r="C22" s="128">
        <v>29.0</v>
      </c>
      <c r="D22" s="14" t="s">
        <v>94</v>
      </c>
      <c r="E22" s="14" t="s">
        <v>13</v>
      </c>
      <c r="F22" s="14">
        <v>20.0</v>
      </c>
      <c r="G22" s="14">
        <v>60.0</v>
      </c>
      <c r="H22" s="14" t="s">
        <v>2423</v>
      </c>
      <c r="I22" s="197" t="s">
        <v>4458</v>
      </c>
      <c r="J22" s="197" t="s">
        <v>4459</v>
      </c>
      <c r="K22" s="198" t="s">
        <v>4513</v>
      </c>
      <c r="L22" s="198" t="s">
        <v>4514</v>
      </c>
      <c r="M22" s="198" t="s">
        <v>1514</v>
      </c>
      <c r="N22" s="197" t="s">
        <v>4515</v>
      </c>
      <c r="O22" s="128">
        <v>20.0</v>
      </c>
      <c r="P22" s="128" t="s">
        <v>92</v>
      </c>
    </row>
    <row r="23" ht="37.5" customHeight="1">
      <c r="A23" s="128"/>
      <c r="B23" s="128" t="s">
        <v>488</v>
      </c>
      <c r="C23" s="128">
        <v>28.0</v>
      </c>
      <c r="D23" s="128" t="s">
        <v>83</v>
      </c>
      <c r="E23" s="128" t="s">
        <v>25</v>
      </c>
      <c r="F23" s="128">
        <v>20.0</v>
      </c>
      <c r="G23" s="128">
        <v>60.0</v>
      </c>
      <c r="H23" s="14" t="s">
        <v>2423</v>
      </c>
      <c r="I23" s="197" t="s">
        <v>4458</v>
      </c>
      <c r="J23" s="197" t="s">
        <v>4459</v>
      </c>
      <c r="K23" s="197" t="s">
        <v>4516</v>
      </c>
      <c r="L23" s="197" t="s">
        <v>4517</v>
      </c>
      <c r="M23" s="197" t="s">
        <v>1209</v>
      </c>
      <c r="N23" s="197" t="s">
        <v>4518</v>
      </c>
      <c r="O23" s="128">
        <v>21.0</v>
      </c>
      <c r="P23" s="128" t="s">
        <v>92</v>
      </c>
    </row>
    <row r="24" ht="37.5" customHeight="1">
      <c r="A24" s="13"/>
      <c r="B24" s="14" t="s">
        <v>1347</v>
      </c>
      <c r="C24" s="128">
        <v>29.0</v>
      </c>
      <c r="D24" s="14" t="s">
        <v>65</v>
      </c>
      <c r="E24" s="14" t="s">
        <v>24</v>
      </c>
      <c r="F24" s="14">
        <v>20.0</v>
      </c>
      <c r="G24" s="14">
        <v>60.0</v>
      </c>
      <c r="H24" s="14" t="s">
        <v>2423</v>
      </c>
      <c r="I24" s="197" t="s">
        <v>4458</v>
      </c>
      <c r="J24" s="197" t="s">
        <v>4519</v>
      </c>
      <c r="K24" s="198" t="s">
        <v>693</v>
      </c>
      <c r="L24" s="198" t="s">
        <v>1052</v>
      </c>
      <c r="M24" s="198" t="s">
        <v>2600</v>
      </c>
      <c r="N24" s="197" t="s">
        <v>4520</v>
      </c>
      <c r="O24" s="128">
        <v>22.0</v>
      </c>
      <c r="P24" s="128" t="s">
        <v>92</v>
      </c>
    </row>
    <row r="25" ht="37.5" customHeight="1">
      <c r="A25" s="128"/>
      <c r="B25" s="14" t="s">
        <v>808</v>
      </c>
      <c r="C25" s="128">
        <v>29.0</v>
      </c>
      <c r="D25" s="14" t="s">
        <v>65</v>
      </c>
      <c r="E25" s="14" t="s">
        <v>22</v>
      </c>
      <c r="F25" s="128">
        <v>50.0</v>
      </c>
      <c r="G25" s="128">
        <v>60.0</v>
      </c>
      <c r="H25" s="14" t="s">
        <v>2423</v>
      </c>
      <c r="I25" s="197" t="s">
        <v>4458</v>
      </c>
      <c r="J25" s="197" t="s">
        <v>4459</v>
      </c>
      <c r="K25" s="197" t="s">
        <v>4494</v>
      </c>
      <c r="L25" s="197" t="s">
        <v>1052</v>
      </c>
      <c r="M25" s="197" t="s">
        <v>720</v>
      </c>
      <c r="N25" s="197" t="s">
        <v>4521</v>
      </c>
      <c r="O25" s="128">
        <v>23.0</v>
      </c>
      <c r="P25" s="128" t="s">
        <v>92</v>
      </c>
    </row>
    <row r="26" ht="37.5" customHeight="1">
      <c r="A26" s="14"/>
      <c r="B26" s="14" t="s">
        <v>4522</v>
      </c>
      <c r="C26" s="128">
        <v>29.0</v>
      </c>
      <c r="D26" s="14" t="s">
        <v>94</v>
      </c>
      <c r="E26" s="14" t="s">
        <v>16</v>
      </c>
      <c r="F26" s="14">
        <v>20.0</v>
      </c>
      <c r="G26" s="14">
        <v>73.0</v>
      </c>
      <c r="H26" s="14" t="s">
        <v>2423</v>
      </c>
      <c r="I26" s="197" t="s">
        <v>4458</v>
      </c>
      <c r="J26" s="197" t="s">
        <v>4523</v>
      </c>
      <c r="K26" s="198" t="s">
        <v>4497</v>
      </c>
      <c r="L26" s="198" t="s">
        <v>4524</v>
      </c>
      <c r="M26" s="198" t="s">
        <v>2467</v>
      </c>
      <c r="N26" s="197" t="s">
        <v>4525</v>
      </c>
      <c r="O26" s="128">
        <v>24.0</v>
      </c>
      <c r="P26" s="14" t="s">
        <v>92</v>
      </c>
    </row>
    <row r="27" ht="37.5" customHeight="1">
      <c r="A27" s="13"/>
      <c r="B27" s="14" t="s">
        <v>1358</v>
      </c>
      <c r="C27" s="128">
        <v>29.0</v>
      </c>
      <c r="D27" s="14" t="s">
        <v>83</v>
      </c>
      <c r="E27" s="14" t="s">
        <v>22</v>
      </c>
      <c r="F27" s="14">
        <v>50.0</v>
      </c>
      <c r="G27" s="14">
        <v>60.0</v>
      </c>
      <c r="H27" s="14" t="s">
        <v>2423</v>
      </c>
      <c r="I27" s="197" t="s">
        <v>4458</v>
      </c>
      <c r="J27" s="197" t="s">
        <v>4459</v>
      </c>
      <c r="K27" s="198" t="s">
        <v>4526</v>
      </c>
      <c r="L27" s="198" t="s">
        <v>4527</v>
      </c>
      <c r="M27" s="198" t="s">
        <v>1506</v>
      </c>
      <c r="N27" s="197" t="s">
        <v>4528</v>
      </c>
      <c r="O27" s="128">
        <v>25.0</v>
      </c>
      <c r="P27" s="14" t="s">
        <v>120</v>
      </c>
    </row>
    <row r="28" ht="37.5" customHeight="1">
      <c r="A28" s="13"/>
      <c r="B28" s="14" t="s">
        <v>1360</v>
      </c>
      <c r="C28" s="128">
        <v>29.0</v>
      </c>
      <c r="D28" s="14" t="s">
        <v>65</v>
      </c>
      <c r="E28" s="14" t="s">
        <v>16</v>
      </c>
      <c r="F28" s="14">
        <v>25.0</v>
      </c>
      <c r="G28" s="14">
        <v>60.0</v>
      </c>
      <c r="H28" s="14" t="s">
        <v>2423</v>
      </c>
      <c r="I28" s="197" t="s">
        <v>4458</v>
      </c>
      <c r="J28" s="197" t="s">
        <v>4459</v>
      </c>
      <c r="K28" s="198" t="s">
        <v>4497</v>
      </c>
      <c r="L28" s="198" t="s">
        <v>4529</v>
      </c>
      <c r="M28" s="198" t="s">
        <v>2754</v>
      </c>
      <c r="N28" s="197" t="s">
        <v>4530</v>
      </c>
      <c r="O28" s="128">
        <v>26.0</v>
      </c>
      <c r="P28" s="14" t="s">
        <v>120</v>
      </c>
    </row>
    <row r="29" ht="37.5" customHeight="1">
      <c r="A29" s="13"/>
      <c r="B29" s="14" t="s">
        <v>1339</v>
      </c>
      <c r="C29" s="128">
        <v>14.0</v>
      </c>
      <c r="D29" s="14" t="s">
        <v>94</v>
      </c>
      <c r="E29" s="14" t="s">
        <v>16</v>
      </c>
      <c r="F29" s="14">
        <v>20.0</v>
      </c>
      <c r="G29" s="14">
        <v>73.0</v>
      </c>
      <c r="H29" s="14" t="s">
        <v>2597</v>
      </c>
      <c r="I29" s="197" t="s">
        <v>4458</v>
      </c>
      <c r="J29" s="197" t="s">
        <v>4523</v>
      </c>
      <c r="K29" s="198" t="s">
        <v>693</v>
      </c>
      <c r="L29" s="198" t="s">
        <v>4531</v>
      </c>
      <c r="M29" s="198" t="s">
        <v>75</v>
      </c>
      <c r="N29" s="197" t="s">
        <v>4532</v>
      </c>
      <c r="O29" s="128">
        <v>27.0</v>
      </c>
      <c r="P29" s="14" t="s">
        <v>120</v>
      </c>
    </row>
    <row r="30" ht="37.5" customHeight="1">
      <c r="A30" s="13"/>
      <c r="B30" s="14" t="s">
        <v>1357</v>
      </c>
      <c r="C30" s="128">
        <v>23.0</v>
      </c>
      <c r="D30" s="14" t="s">
        <v>94</v>
      </c>
      <c r="E30" s="14" t="s">
        <v>13</v>
      </c>
      <c r="F30" s="14">
        <v>20.0</v>
      </c>
      <c r="G30" s="14">
        <v>60.0</v>
      </c>
      <c r="H30" s="14" t="s">
        <v>2423</v>
      </c>
      <c r="I30" s="197" t="s">
        <v>4458</v>
      </c>
      <c r="J30" s="197" t="s">
        <v>4459</v>
      </c>
      <c r="K30" s="198" t="s">
        <v>693</v>
      </c>
      <c r="L30" s="198" t="s">
        <v>4531</v>
      </c>
      <c r="M30" s="198" t="s">
        <v>1509</v>
      </c>
      <c r="N30" s="197" t="s">
        <v>4533</v>
      </c>
      <c r="O30" s="128">
        <v>28.0</v>
      </c>
      <c r="P30" s="14" t="s">
        <v>120</v>
      </c>
    </row>
    <row r="31" ht="37.5" customHeight="1">
      <c r="A31" s="14"/>
      <c r="B31" s="14" t="s">
        <v>1363</v>
      </c>
      <c r="C31" s="128">
        <v>11.0</v>
      </c>
      <c r="D31" s="14" t="s">
        <v>73</v>
      </c>
      <c r="E31" s="14" t="s">
        <v>13</v>
      </c>
      <c r="F31" s="14">
        <v>20.0</v>
      </c>
      <c r="G31" s="14">
        <v>60.0</v>
      </c>
      <c r="H31" s="14" t="s">
        <v>2597</v>
      </c>
      <c r="I31" s="197" t="s">
        <v>4458</v>
      </c>
      <c r="J31" s="197" t="s">
        <v>4459</v>
      </c>
      <c r="K31" s="198" t="s">
        <v>693</v>
      </c>
      <c r="L31" s="198" t="s">
        <v>4531</v>
      </c>
      <c r="M31" s="198" t="s">
        <v>75</v>
      </c>
      <c r="N31" s="197" t="s">
        <v>4533</v>
      </c>
      <c r="O31" s="128">
        <v>29.0</v>
      </c>
      <c r="P31" s="14" t="s">
        <v>120</v>
      </c>
    </row>
    <row r="32" ht="37.5" customHeight="1">
      <c r="A32" s="13"/>
      <c r="B32" s="14" t="s">
        <v>1361</v>
      </c>
      <c r="C32" s="128">
        <v>21.0</v>
      </c>
      <c r="D32" s="14" t="s">
        <v>73</v>
      </c>
      <c r="E32" s="14" t="s">
        <v>13</v>
      </c>
      <c r="F32" s="14">
        <v>20.0</v>
      </c>
      <c r="G32" s="14">
        <v>60.0</v>
      </c>
      <c r="H32" s="14" t="s">
        <v>2597</v>
      </c>
      <c r="I32" s="197" t="s">
        <v>4458</v>
      </c>
      <c r="J32" s="197" t="s">
        <v>4459</v>
      </c>
      <c r="K32" s="198" t="s">
        <v>693</v>
      </c>
      <c r="L32" s="198" t="s">
        <v>1052</v>
      </c>
      <c r="M32" s="198" t="s">
        <v>1069</v>
      </c>
      <c r="N32" s="197" t="s">
        <v>4534</v>
      </c>
      <c r="O32" s="128">
        <v>30.0</v>
      </c>
      <c r="P32" s="14" t="s">
        <v>136</v>
      </c>
    </row>
    <row r="33" ht="37.5" customHeight="1">
      <c r="A33" s="13"/>
      <c r="B33" s="14" t="s">
        <v>1368</v>
      </c>
      <c r="C33" s="128">
        <v>4.0</v>
      </c>
      <c r="D33" s="14" t="s">
        <v>94</v>
      </c>
      <c r="E33" s="14" t="s">
        <v>13</v>
      </c>
      <c r="F33" s="14">
        <v>20.0</v>
      </c>
      <c r="G33" s="14">
        <v>60.0</v>
      </c>
      <c r="H33" s="14" t="s">
        <v>2597</v>
      </c>
      <c r="I33" s="197" t="s">
        <v>4458</v>
      </c>
      <c r="J33" s="197" t="s">
        <v>4459</v>
      </c>
      <c r="K33" s="198" t="s">
        <v>693</v>
      </c>
      <c r="L33" s="198" t="s">
        <v>1052</v>
      </c>
      <c r="M33" s="198" t="s">
        <v>75</v>
      </c>
      <c r="N33" s="197" t="s">
        <v>4534</v>
      </c>
      <c r="O33" s="128">
        <v>31.0</v>
      </c>
      <c r="P33" s="14" t="s">
        <v>136</v>
      </c>
    </row>
    <row r="34" ht="37.5" customHeight="1">
      <c r="A34" s="13"/>
      <c r="B34" s="14" t="s">
        <v>4094</v>
      </c>
      <c r="C34" s="128">
        <v>29.0</v>
      </c>
      <c r="D34" s="14" t="s">
        <v>94</v>
      </c>
      <c r="E34" s="14" t="s">
        <v>25</v>
      </c>
      <c r="F34" s="14">
        <v>20.0</v>
      </c>
      <c r="G34" s="14">
        <v>60.0</v>
      </c>
      <c r="H34" s="14" t="s">
        <v>2423</v>
      </c>
      <c r="I34" s="197" t="s">
        <v>4458</v>
      </c>
      <c r="J34" s="197" t="s">
        <v>4535</v>
      </c>
      <c r="K34" s="198" t="s">
        <v>693</v>
      </c>
      <c r="L34" s="198" t="s">
        <v>4531</v>
      </c>
      <c r="M34" s="198" t="s">
        <v>1083</v>
      </c>
      <c r="N34" s="197" t="s">
        <v>4536</v>
      </c>
      <c r="O34" s="128">
        <v>32.0</v>
      </c>
      <c r="P34" s="14" t="s">
        <v>136</v>
      </c>
    </row>
    <row r="35" ht="37.5" customHeight="1">
      <c r="A35" s="13"/>
      <c r="B35" s="14" t="s">
        <v>2032</v>
      </c>
      <c r="C35" s="128">
        <v>11.0</v>
      </c>
      <c r="D35" s="14" t="s">
        <v>94</v>
      </c>
      <c r="E35" s="14" t="s">
        <v>25</v>
      </c>
      <c r="F35" s="14">
        <v>20.0</v>
      </c>
      <c r="G35" s="14">
        <v>60.0</v>
      </c>
      <c r="H35" s="14" t="s">
        <v>2597</v>
      </c>
      <c r="I35" s="197" t="s">
        <v>4458</v>
      </c>
      <c r="J35" s="197" t="s">
        <v>4459</v>
      </c>
      <c r="K35" s="198" t="s">
        <v>693</v>
      </c>
      <c r="L35" s="198" t="s">
        <v>4531</v>
      </c>
      <c r="M35" s="198" t="s">
        <v>75</v>
      </c>
      <c r="N35" s="197" t="s">
        <v>4536</v>
      </c>
      <c r="O35" s="128">
        <v>33.0</v>
      </c>
      <c r="P35" s="14" t="s">
        <v>136</v>
      </c>
    </row>
    <row r="36" ht="37.5" customHeight="1">
      <c r="A36" s="13"/>
      <c r="B36" s="14" t="s">
        <v>1351</v>
      </c>
      <c r="C36" s="128">
        <v>29.0</v>
      </c>
      <c r="D36" s="14" t="s">
        <v>65</v>
      </c>
      <c r="E36" s="14" t="s">
        <v>13</v>
      </c>
      <c r="F36" s="14">
        <v>20.0</v>
      </c>
      <c r="G36" s="14">
        <v>60.0</v>
      </c>
      <c r="H36" s="14" t="s">
        <v>2423</v>
      </c>
      <c r="I36" s="197" t="s">
        <v>4458</v>
      </c>
      <c r="J36" s="197" t="s">
        <v>4459</v>
      </c>
      <c r="K36" s="198" t="s">
        <v>693</v>
      </c>
      <c r="L36" s="198" t="s">
        <v>1824</v>
      </c>
      <c r="M36" s="198" t="s">
        <v>1514</v>
      </c>
      <c r="N36" s="197" t="s">
        <v>4537</v>
      </c>
      <c r="O36" s="128">
        <v>34.0</v>
      </c>
      <c r="P36" s="128" t="s">
        <v>136</v>
      </c>
    </row>
    <row r="37" ht="37.5" customHeight="1">
      <c r="A37" s="13"/>
      <c r="B37" s="14" t="s">
        <v>1370</v>
      </c>
      <c r="C37" s="128">
        <v>29.0</v>
      </c>
      <c r="D37" s="14" t="s">
        <v>73</v>
      </c>
      <c r="E37" s="14" t="s">
        <v>13</v>
      </c>
      <c r="F37" s="14">
        <v>20.0</v>
      </c>
      <c r="G37" s="14">
        <v>60.0</v>
      </c>
      <c r="H37" s="14" t="s">
        <v>2423</v>
      </c>
      <c r="I37" s="197" t="s">
        <v>4458</v>
      </c>
      <c r="J37" s="197" t="s">
        <v>4459</v>
      </c>
      <c r="K37" s="198" t="s">
        <v>693</v>
      </c>
      <c r="L37" s="198" t="s">
        <v>1643</v>
      </c>
      <c r="M37" s="198" t="s">
        <v>1532</v>
      </c>
      <c r="N37" s="197" t="s">
        <v>4538</v>
      </c>
      <c r="O37" s="128">
        <v>35.0</v>
      </c>
      <c r="P37" s="14" t="s">
        <v>167</v>
      </c>
    </row>
    <row r="38" ht="37.5" customHeight="1">
      <c r="A38" s="13"/>
      <c r="B38" s="14" t="s">
        <v>1372</v>
      </c>
      <c r="C38" s="128">
        <v>10.0</v>
      </c>
      <c r="D38" s="14" t="s">
        <v>65</v>
      </c>
      <c r="E38" s="14" t="s">
        <v>13</v>
      </c>
      <c r="F38" s="14">
        <v>20.0</v>
      </c>
      <c r="G38" s="14">
        <v>60.0</v>
      </c>
      <c r="H38" s="14" t="s">
        <v>2597</v>
      </c>
      <c r="I38" s="197" t="s">
        <v>4458</v>
      </c>
      <c r="J38" s="197" t="s">
        <v>4459</v>
      </c>
      <c r="K38" s="198" t="s">
        <v>693</v>
      </c>
      <c r="L38" s="198" t="s">
        <v>1643</v>
      </c>
      <c r="M38" s="198" t="s">
        <v>75</v>
      </c>
      <c r="N38" s="197" t="s">
        <v>4538</v>
      </c>
      <c r="O38" s="128">
        <v>36.0</v>
      </c>
      <c r="P38" s="14" t="s">
        <v>167</v>
      </c>
    </row>
    <row r="39" ht="37.5" customHeight="1">
      <c r="A39" s="13"/>
      <c r="B39" s="14" t="s">
        <v>1359</v>
      </c>
      <c r="C39" s="128">
        <v>14.0</v>
      </c>
      <c r="D39" s="14" t="s">
        <v>73</v>
      </c>
      <c r="E39" s="14" t="s">
        <v>25</v>
      </c>
      <c r="F39" s="14">
        <v>20.0</v>
      </c>
      <c r="G39" s="14">
        <v>60.0</v>
      </c>
      <c r="H39" s="14" t="s">
        <v>2597</v>
      </c>
      <c r="I39" s="197" t="s">
        <v>4458</v>
      </c>
      <c r="J39" s="197" t="s">
        <v>4535</v>
      </c>
      <c r="K39" s="198" t="s">
        <v>693</v>
      </c>
      <c r="L39" s="198" t="s">
        <v>1643</v>
      </c>
      <c r="M39" s="198" t="s">
        <v>75</v>
      </c>
      <c r="N39" s="197" t="s">
        <v>4539</v>
      </c>
      <c r="O39" s="128">
        <v>37.0</v>
      </c>
      <c r="P39" s="14" t="s">
        <v>167</v>
      </c>
    </row>
    <row r="40" ht="37.5" customHeight="1">
      <c r="A40" s="13"/>
      <c r="B40" s="14" t="s">
        <v>1341</v>
      </c>
      <c r="C40" s="128">
        <v>29.0</v>
      </c>
      <c r="D40" s="14" t="s">
        <v>73</v>
      </c>
      <c r="E40" s="14" t="s">
        <v>16</v>
      </c>
      <c r="F40" s="14">
        <v>20.0</v>
      </c>
      <c r="G40" s="14">
        <v>73.0</v>
      </c>
      <c r="H40" s="14" t="s">
        <v>2423</v>
      </c>
      <c r="I40" s="197" t="s">
        <v>4458</v>
      </c>
      <c r="J40" s="197" t="s">
        <v>4523</v>
      </c>
      <c r="K40" s="198" t="s">
        <v>1600</v>
      </c>
      <c r="L40" s="198" t="s">
        <v>1643</v>
      </c>
      <c r="M40" s="198" t="s">
        <v>1083</v>
      </c>
      <c r="N40" s="197" t="s">
        <v>4540</v>
      </c>
      <c r="O40" s="128">
        <v>38.0</v>
      </c>
      <c r="P40" s="14" t="s">
        <v>167</v>
      </c>
    </row>
    <row r="41" ht="37.5" customHeight="1">
      <c r="A41" s="13"/>
      <c r="B41" s="14" t="s">
        <v>1365</v>
      </c>
      <c r="C41" s="128">
        <v>14.0</v>
      </c>
      <c r="D41" s="14" t="s">
        <v>94</v>
      </c>
      <c r="E41" s="14" t="s">
        <v>24</v>
      </c>
      <c r="F41" s="14">
        <v>20.0</v>
      </c>
      <c r="G41" s="14">
        <v>60.0</v>
      </c>
      <c r="H41" s="14" t="s">
        <v>2597</v>
      </c>
      <c r="I41" s="197" t="s">
        <v>4458</v>
      </c>
      <c r="J41" s="197" t="s">
        <v>4519</v>
      </c>
      <c r="K41" s="198" t="s">
        <v>693</v>
      </c>
      <c r="L41" s="198" t="s">
        <v>959</v>
      </c>
      <c r="M41" s="198" t="s">
        <v>75</v>
      </c>
      <c r="N41" s="197" t="s">
        <v>4541</v>
      </c>
      <c r="O41" s="128">
        <v>39.0</v>
      </c>
      <c r="P41" s="14" t="s">
        <v>423</v>
      </c>
    </row>
    <row r="42" ht="37.5" customHeight="1">
      <c r="A42" s="13"/>
      <c r="B42" s="14" t="s">
        <v>1366</v>
      </c>
      <c r="C42" s="128">
        <v>16.0</v>
      </c>
      <c r="D42" s="14" t="s">
        <v>94</v>
      </c>
      <c r="E42" s="14" t="s">
        <v>25</v>
      </c>
      <c r="F42" s="14">
        <v>20.0</v>
      </c>
      <c r="G42" s="14">
        <v>60.0</v>
      </c>
      <c r="H42" s="14" t="s">
        <v>2597</v>
      </c>
      <c r="I42" s="197" t="s">
        <v>4458</v>
      </c>
      <c r="J42" s="197" t="s">
        <v>4459</v>
      </c>
      <c r="K42" s="198" t="s">
        <v>693</v>
      </c>
      <c r="L42" s="198" t="s">
        <v>247</v>
      </c>
      <c r="M42" s="198" t="s">
        <v>895</v>
      </c>
      <c r="N42" s="197" t="s">
        <v>4541</v>
      </c>
      <c r="O42" s="128">
        <v>40.0</v>
      </c>
      <c r="P42" s="14" t="s">
        <v>423</v>
      </c>
    </row>
    <row r="43" ht="37.5" customHeight="1">
      <c r="A43" s="13"/>
      <c r="B43" s="14" t="s">
        <v>1369</v>
      </c>
      <c r="C43" s="128">
        <v>29.0</v>
      </c>
      <c r="D43" s="14" t="s">
        <v>83</v>
      </c>
      <c r="E43" s="14" t="s">
        <v>25</v>
      </c>
      <c r="F43" s="14">
        <v>20.0</v>
      </c>
      <c r="G43" s="14">
        <v>60.0</v>
      </c>
      <c r="H43" s="14" t="s">
        <v>2423</v>
      </c>
      <c r="I43" s="197" t="s">
        <v>4458</v>
      </c>
      <c r="J43" s="197" t="s">
        <v>4459</v>
      </c>
      <c r="K43" s="198" t="s">
        <v>4486</v>
      </c>
      <c r="L43" s="198" t="s">
        <v>4542</v>
      </c>
      <c r="M43" s="198" t="s">
        <v>1084</v>
      </c>
      <c r="N43" s="197" t="s">
        <v>4543</v>
      </c>
      <c r="O43" s="128">
        <v>41.0</v>
      </c>
      <c r="P43" s="14" t="s">
        <v>447</v>
      </c>
    </row>
  </sheetData>
  <autoFilter ref="$A$2:$P$43">
    <sortState ref="A2:P43">
      <sortCondition ref="O2:O43"/>
      <sortCondition descending="1" ref="G2:G43"/>
      <sortCondition ref="E2:E43"/>
      <sortCondition ref="B2:B43"/>
    </sortState>
  </autoFilter>
  <mergeCells count="4">
    <mergeCell ref="A1:B1"/>
    <mergeCell ref="C1:H1"/>
    <mergeCell ref="I1:M1"/>
    <mergeCell ref="N1:P1"/>
  </mergeCells>
  <conditionalFormatting sqref="P3:P43">
    <cfRule type="cellIs" dxfId="3" priority="1" operator="equal">
      <formula>"F"</formula>
    </cfRule>
  </conditionalFormatting>
  <conditionalFormatting sqref="P3:P43">
    <cfRule type="cellIs" dxfId="4" priority="2" operator="equal">
      <formula>"E"</formula>
    </cfRule>
  </conditionalFormatting>
  <conditionalFormatting sqref="O3:P43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43">
    <cfRule type="cellIs" dxfId="13" priority="4" operator="equal">
      <formula>"Solar"</formula>
    </cfRule>
  </conditionalFormatting>
  <conditionalFormatting sqref="D3:D43">
    <cfRule type="cellIs" dxfId="20" priority="5" operator="equal">
      <formula>"Arc"</formula>
    </cfRule>
  </conditionalFormatting>
  <conditionalFormatting sqref="D3:D43">
    <cfRule type="cellIs" dxfId="21" priority="6" operator="equal">
      <formula>"Stasis"</formula>
    </cfRule>
  </conditionalFormatting>
  <conditionalFormatting sqref="D3:D43">
    <cfRule type="cellIs" dxfId="18" priority="7" operator="equal">
      <formula>"Void"</formula>
    </cfRule>
  </conditionalFormatting>
  <conditionalFormatting sqref="D3:D43">
    <cfRule type="cellIs" dxfId="17" priority="8" operator="equal">
      <formula>"Strand"</formula>
    </cfRule>
  </conditionalFormatting>
  <conditionalFormatting sqref="H3:H43">
    <cfRule type="cellIs" dxfId="17" priority="9" operator="equal">
      <formula>"Yes"</formula>
    </cfRule>
  </conditionalFormatting>
  <conditionalFormatting sqref="H3:H43">
    <cfRule type="cellIs" dxfId="2" priority="10" operator="equal">
      <formula>"No"</formula>
    </cfRule>
  </conditionalFormatting>
  <conditionalFormatting sqref="P3:P43">
    <cfRule type="cellIs" dxfId="5" priority="11" operator="equal">
      <formula>"S"</formula>
    </cfRule>
  </conditionalFormatting>
  <conditionalFormatting sqref="P3:P43">
    <cfRule type="cellIs" dxfId="6" priority="12" operator="equal">
      <formula>"B"</formula>
    </cfRule>
  </conditionalFormatting>
  <conditionalFormatting sqref="P3:P43">
    <cfRule type="cellIs" dxfId="7" priority="13" operator="equal">
      <formula>"D"</formula>
    </cfRule>
  </conditionalFormatting>
  <conditionalFormatting sqref="P3:P43">
    <cfRule type="cellIs" dxfId="8" priority="14" operator="equal">
      <formula>"C"</formula>
    </cfRule>
  </conditionalFormatting>
  <conditionalFormatting sqref="P3:P43">
    <cfRule type="cellIs" dxfId="9" priority="15" operator="equal">
      <formula>"A"</formula>
    </cfRule>
  </conditionalFormatting>
  <conditionalFormatting sqref="B3:C43">
    <cfRule type="expression" dxfId="12" priority="16">
      <formula>$C3=MAX($C$4:$C43)</formula>
    </cfRule>
  </conditionalFormatting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1.2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4544</v>
      </c>
      <c r="C3" s="128">
        <v>27.0</v>
      </c>
      <c r="D3" s="128" t="s">
        <v>65</v>
      </c>
      <c r="E3" s="128" t="s">
        <v>264</v>
      </c>
      <c r="F3" s="128">
        <v>47.0</v>
      </c>
      <c r="G3" s="14" t="s">
        <v>2423</v>
      </c>
      <c r="H3" s="197" t="s">
        <v>4545</v>
      </c>
      <c r="I3" s="197" t="s">
        <v>4546</v>
      </c>
      <c r="J3" s="198" t="s">
        <v>4547</v>
      </c>
      <c r="K3" s="197" t="s">
        <v>4548</v>
      </c>
      <c r="L3" s="197" t="s">
        <v>2448</v>
      </c>
      <c r="M3" s="197" t="s">
        <v>4549</v>
      </c>
      <c r="N3" s="14"/>
      <c r="O3" s="14"/>
    </row>
    <row r="4" ht="37.5" customHeight="1">
      <c r="A4" s="13"/>
      <c r="B4" s="128" t="s">
        <v>550</v>
      </c>
      <c r="C4" s="128">
        <v>27.0</v>
      </c>
      <c r="D4" s="128" t="s">
        <v>157</v>
      </c>
      <c r="E4" s="128" t="s">
        <v>264</v>
      </c>
      <c r="F4" s="128">
        <v>26.0</v>
      </c>
      <c r="G4" s="14" t="s">
        <v>2423</v>
      </c>
      <c r="H4" s="197" t="s">
        <v>4545</v>
      </c>
      <c r="I4" s="197" t="s">
        <v>4546</v>
      </c>
      <c r="J4" s="197" t="s">
        <v>4550</v>
      </c>
      <c r="K4" s="197" t="s">
        <v>4551</v>
      </c>
      <c r="L4" s="197" t="s">
        <v>572</v>
      </c>
      <c r="M4" s="197" t="s">
        <v>4552</v>
      </c>
      <c r="N4" s="14"/>
      <c r="O4" s="14"/>
    </row>
    <row r="5" ht="37.5" customHeight="1">
      <c r="A5" s="128"/>
      <c r="B5" s="128" t="s">
        <v>456</v>
      </c>
      <c r="C5" s="128">
        <v>28.0</v>
      </c>
      <c r="D5" s="128" t="s">
        <v>94</v>
      </c>
      <c r="E5" s="128" t="s">
        <v>264</v>
      </c>
      <c r="F5" s="128">
        <v>60.0</v>
      </c>
      <c r="G5" s="14" t="s">
        <v>2423</v>
      </c>
      <c r="H5" s="197" t="s">
        <v>4545</v>
      </c>
      <c r="I5" s="197" t="s">
        <v>4546</v>
      </c>
      <c r="J5" s="197" t="s">
        <v>4553</v>
      </c>
      <c r="K5" s="197" t="s">
        <v>4554</v>
      </c>
      <c r="L5" s="197" t="s">
        <v>2457</v>
      </c>
      <c r="M5" s="197" t="s">
        <v>4555</v>
      </c>
      <c r="N5" s="14"/>
      <c r="O5" s="14"/>
    </row>
    <row r="6" ht="37.5" customHeight="1">
      <c r="A6" s="128"/>
      <c r="B6" s="128" t="s">
        <v>469</v>
      </c>
      <c r="C6" s="128">
        <v>28.0</v>
      </c>
      <c r="D6" s="128" t="s">
        <v>65</v>
      </c>
      <c r="E6" s="128" t="s">
        <v>2095</v>
      </c>
      <c r="F6" s="128">
        <v>65.0</v>
      </c>
      <c r="G6" s="14" t="s">
        <v>2423</v>
      </c>
      <c r="H6" s="197" t="s">
        <v>2727</v>
      </c>
      <c r="I6" s="197" t="s">
        <v>3898</v>
      </c>
      <c r="J6" s="197" t="s">
        <v>1790</v>
      </c>
      <c r="K6" s="197" t="s">
        <v>4556</v>
      </c>
      <c r="L6" s="197" t="s">
        <v>2457</v>
      </c>
      <c r="M6" s="197" t="s">
        <v>4557</v>
      </c>
      <c r="N6" s="14"/>
      <c r="O6" s="14"/>
    </row>
    <row r="7" ht="37.5" customHeight="1">
      <c r="A7" s="128"/>
      <c r="B7" s="128" t="s">
        <v>440</v>
      </c>
      <c r="C7" s="128">
        <v>28.0</v>
      </c>
      <c r="D7" s="128" t="s">
        <v>89</v>
      </c>
      <c r="E7" s="128" t="s">
        <v>2091</v>
      </c>
      <c r="F7" s="128">
        <v>26.0</v>
      </c>
      <c r="G7" s="14" t="s">
        <v>2423</v>
      </c>
      <c r="H7" s="197" t="s">
        <v>2727</v>
      </c>
      <c r="I7" s="197" t="s">
        <v>4097</v>
      </c>
      <c r="J7" s="197" t="s">
        <v>4558</v>
      </c>
      <c r="K7" s="197" t="s">
        <v>560</v>
      </c>
      <c r="L7" s="197" t="s">
        <v>2457</v>
      </c>
      <c r="M7" s="197" t="s">
        <v>4559</v>
      </c>
      <c r="N7" s="14"/>
      <c r="O7" s="14"/>
    </row>
    <row r="8" ht="37.5" customHeight="1">
      <c r="A8" s="128"/>
      <c r="B8" s="128" t="s">
        <v>453</v>
      </c>
      <c r="C8" s="128">
        <v>28.0</v>
      </c>
      <c r="D8" s="128" t="s">
        <v>65</v>
      </c>
      <c r="E8" s="128" t="s">
        <v>2001</v>
      </c>
      <c r="F8" s="128">
        <v>11.0</v>
      </c>
      <c r="G8" s="14" t="s">
        <v>2423</v>
      </c>
      <c r="H8" s="197" t="s">
        <v>4096</v>
      </c>
      <c r="I8" s="197" t="s">
        <v>4560</v>
      </c>
      <c r="J8" s="197" t="s">
        <v>4561</v>
      </c>
      <c r="K8" s="197" t="s">
        <v>4562</v>
      </c>
      <c r="L8" s="197" t="s">
        <v>2457</v>
      </c>
      <c r="M8" s="197" t="s">
        <v>4563</v>
      </c>
      <c r="N8" s="14"/>
      <c r="O8" s="14"/>
    </row>
    <row r="9" ht="37.5" customHeight="1">
      <c r="A9" s="128"/>
      <c r="B9" s="128" t="s">
        <v>4564</v>
      </c>
      <c r="C9" s="128">
        <v>29.0</v>
      </c>
      <c r="D9" s="128" t="s">
        <v>73</v>
      </c>
      <c r="E9" s="128" t="s">
        <v>2001</v>
      </c>
      <c r="F9" s="128">
        <v>25.0</v>
      </c>
      <c r="G9" s="14" t="s">
        <v>2423</v>
      </c>
      <c r="H9" s="197" t="s">
        <v>4096</v>
      </c>
      <c r="I9" s="197" t="s">
        <v>4560</v>
      </c>
      <c r="J9" s="197" t="s">
        <v>4565</v>
      </c>
      <c r="K9" s="197" t="s">
        <v>4566</v>
      </c>
      <c r="L9" s="197" t="s">
        <v>1527</v>
      </c>
      <c r="M9" s="197" t="s">
        <v>4567</v>
      </c>
      <c r="N9" s="14"/>
      <c r="O9" s="14"/>
    </row>
    <row r="10" ht="37.5" customHeight="1">
      <c r="A10" s="128"/>
      <c r="B10" s="128" t="s">
        <v>1813</v>
      </c>
      <c r="C10" s="128">
        <v>29.0</v>
      </c>
      <c r="D10" s="128" t="s">
        <v>83</v>
      </c>
      <c r="E10" s="128" t="s">
        <v>2001</v>
      </c>
      <c r="F10" s="128">
        <v>9.0</v>
      </c>
      <c r="G10" s="14" t="s">
        <v>2423</v>
      </c>
      <c r="H10" s="197" t="s">
        <v>4096</v>
      </c>
      <c r="I10" s="197" t="s">
        <v>4560</v>
      </c>
      <c r="J10" s="197" t="s">
        <v>4568</v>
      </c>
      <c r="K10" s="197" t="s">
        <v>4569</v>
      </c>
      <c r="L10" s="197" t="s">
        <v>2457</v>
      </c>
      <c r="M10" s="197" t="s">
        <v>4570</v>
      </c>
      <c r="N10" s="128"/>
      <c r="O10" s="14"/>
    </row>
  </sheetData>
  <autoFilter ref="$A$2:$O$10">
    <sortState ref="A2:O10">
      <sortCondition ref="N2:N10"/>
      <sortCondition ref="B2:B10"/>
    </sortState>
  </autoFilter>
  <mergeCells count="4">
    <mergeCell ref="A1:B1"/>
    <mergeCell ref="C1:G1"/>
    <mergeCell ref="H1:L1"/>
    <mergeCell ref="M1:O1"/>
  </mergeCells>
  <conditionalFormatting sqref="O3:O10">
    <cfRule type="cellIs" dxfId="3" priority="1" operator="equal">
      <formula>"F"</formula>
    </cfRule>
  </conditionalFormatting>
  <conditionalFormatting sqref="O3:O10">
    <cfRule type="cellIs" dxfId="4" priority="2" operator="equal">
      <formula>"E"</formula>
    </cfRule>
  </conditionalFormatting>
  <conditionalFormatting sqref="N3:O10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10">
    <cfRule type="cellIs" dxfId="13" priority="4" operator="equal">
      <formula>"Solar"</formula>
    </cfRule>
  </conditionalFormatting>
  <conditionalFormatting sqref="D3:D10">
    <cfRule type="cellIs" dxfId="20" priority="5" operator="equal">
      <formula>"Arc"</formula>
    </cfRule>
  </conditionalFormatting>
  <conditionalFormatting sqref="D3:D10">
    <cfRule type="cellIs" dxfId="21" priority="6" operator="equal">
      <formula>"Stasis"</formula>
    </cfRule>
  </conditionalFormatting>
  <conditionalFormatting sqref="D3:D10">
    <cfRule type="cellIs" dxfId="18" priority="7" operator="equal">
      <formula>"Void"</formula>
    </cfRule>
  </conditionalFormatting>
  <conditionalFormatting sqref="D3:D10">
    <cfRule type="cellIs" dxfId="17" priority="8" operator="equal">
      <formula>"Strand"</formula>
    </cfRule>
  </conditionalFormatting>
  <conditionalFormatting sqref="G3:G10">
    <cfRule type="cellIs" dxfId="17" priority="9" operator="equal">
      <formula>"Yes"</formula>
    </cfRule>
  </conditionalFormatting>
  <conditionalFormatting sqref="G3:G10">
    <cfRule type="cellIs" dxfId="2" priority="10" operator="equal">
      <formula>"No"</formula>
    </cfRule>
  </conditionalFormatting>
  <conditionalFormatting sqref="O3:O10">
    <cfRule type="cellIs" dxfId="5" priority="11" operator="equal">
      <formula>"S"</formula>
    </cfRule>
  </conditionalFormatting>
  <conditionalFormatting sqref="O3:O10">
    <cfRule type="cellIs" dxfId="6" priority="12" operator="equal">
      <formula>"B"</formula>
    </cfRule>
  </conditionalFormatting>
  <conditionalFormatting sqref="O3:O10">
    <cfRule type="cellIs" dxfId="7" priority="13" operator="equal">
      <formula>"D"</formula>
    </cfRule>
  </conditionalFormatting>
  <conditionalFormatting sqref="O3:O10">
    <cfRule type="cellIs" dxfId="8" priority="14" operator="equal">
      <formula>"C"</formula>
    </cfRule>
  </conditionalFormatting>
  <conditionalFormatting sqref="O3:O10">
    <cfRule type="cellIs" dxfId="9" priority="15" operator="equal">
      <formula>"A"</formula>
    </cfRule>
  </conditionalFormatting>
  <conditionalFormatting sqref="D3:D10">
    <cfRule type="cellIs" dxfId="19" priority="16" operator="equal">
      <formula>"Kinetic"</formula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5" width="9.0"/>
    <col customWidth="1" min="6" max="6" width="9.63"/>
    <col customWidth="1" min="7" max="7" width="7.25"/>
    <col customWidth="1" min="8" max="8" width="17.75"/>
    <col customWidth="1" min="9" max="9" width="16.38"/>
    <col customWidth="1" min="10" max="11" width="12.38"/>
    <col customWidth="1" min="12" max="12" width="38.0"/>
  </cols>
  <sheetData>
    <row r="1" ht="15.0" customHeight="1">
      <c r="A1" s="5" t="s">
        <v>47</v>
      </c>
      <c r="C1" s="6" t="s">
        <v>1979</v>
      </c>
      <c r="H1" s="8" t="s">
        <v>181</v>
      </c>
      <c r="K1" s="9" t="s">
        <v>4571</v>
      </c>
      <c r="L1" s="10" t="s">
        <v>4572</v>
      </c>
    </row>
    <row r="2" ht="22.5" customHeight="1">
      <c r="A2" s="11" t="s">
        <v>53</v>
      </c>
      <c r="B2" s="11" t="s">
        <v>54</v>
      </c>
      <c r="C2" s="11" t="s">
        <v>57</v>
      </c>
      <c r="D2" s="11" t="s">
        <v>4573</v>
      </c>
      <c r="E2" s="11" t="s">
        <v>4574</v>
      </c>
      <c r="F2" s="11" t="s">
        <v>55</v>
      </c>
      <c r="G2" s="201" t="s">
        <v>4575</v>
      </c>
      <c r="H2" s="11" t="s">
        <v>1785</v>
      </c>
      <c r="I2" s="11" t="s">
        <v>1786</v>
      </c>
      <c r="J2" s="11" t="s">
        <v>2421</v>
      </c>
      <c r="K2" s="11" t="s">
        <v>61</v>
      </c>
      <c r="L2" s="11" t="s">
        <v>4576</v>
      </c>
    </row>
    <row r="3" ht="37.5" customHeight="1">
      <c r="A3" s="13"/>
      <c r="B3" s="14" t="s">
        <v>2552</v>
      </c>
      <c r="C3" s="14" t="s">
        <v>4577</v>
      </c>
      <c r="D3" s="14" t="s">
        <v>89</v>
      </c>
      <c r="E3" s="14" t="s">
        <v>89</v>
      </c>
      <c r="F3" s="14" t="s">
        <v>17</v>
      </c>
      <c r="G3" s="14" t="s">
        <v>2423</v>
      </c>
      <c r="H3" s="14" t="s">
        <v>4578</v>
      </c>
      <c r="I3" s="14" t="s">
        <v>4579</v>
      </c>
      <c r="J3" s="14" t="s">
        <v>425</v>
      </c>
      <c r="K3" s="14" t="s">
        <v>4580</v>
      </c>
      <c r="L3" s="14" t="s">
        <v>4581</v>
      </c>
    </row>
    <row r="4" ht="37.5" customHeight="1">
      <c r="A4" s="13"/>
      <c r="B4" s="14" t="s">
        <v>750</v>
      </c>
      <c r="C4" s="14" t="s">
        <v>4577</v>
      </c>
      <c r="D4" s="14" t="s">
        <v>191</v>
      </c>
      <c r="E4" s="14" t="s">
        <v>73</v>
      </c>
      <c r="F4" s="14" t="s">
        <v>2011</v>
      </c>
      <c r="G4" s="14" t="s">
        <v>2423</v>
      </c>
      <c r="H4" s="14" t="s">
        <v>4582</v>
      </c>
      <c r="I4" s="14" t="s">
        <v>4583</v>
      </c>
      <c r="J4" s="14" t="s">
        <v>1539</v>
      </c>
      <c r="K4" s="14" t="s">
        <v>4584</v>
      </c>
      <c r="L4" s="14" t="s">
        <v>4585</v>
      </c>
    </row>
    <row r="5" ht="37.5" customHeight="1">
      <c r="A5" s="13"/>
      <c r="B5" s="128" t="s">
        <v>1270</v>
      </c>
      <c r="C5" s="14" t="s">
        <v>28</v>
      </c>
      <c r="D5" s="14" t="s">
        <v>89</v>
      </c>
      <c r="E5" s="128" t="s">
        <v>89</v>
      </c>
      <c r="F5" s="14" t="s">
        <v>17</v>
      </c>
      <c r="G5" s="14" t="s">
        <v>2423</v>
      </c>
      <c r="H5" s="14" t="s">
        <v>927</v>
      </c>
      <c r="I5" s="128" t="s">
        <v>4586</v>
      </c>
      <c r="J5" s="128" t="s">
        <v>1212</v>
      </c>
      <c r="K5" s="14" t="s">
        <v>4580</v>
      </c>
      <c r="L5" s="14" t="s">
        <v>4587</v>
      </c>
    </row>
    <row r="6" ht="37.5" customHeight="1">
      <c r="A6" s="13"/>
      <c r="B6" s="14" t="s">
        <v>1406</v>
      </c>
      <c r="C6" s="14" t="s">
        <v>28</v>
      </c>
      <c r="D6" s="14" t="s">
        <v>191</v>
      </c>
      <c r="E6" s="14" t="s">
        <v>65</v>
      </c>
      <c r="F6" s="14" t="s">
        <v>17</v>
      </c>
      <c r="G6" s="14" t="s">
        <v>2423</v>
      </c>
      <c r="H6" s="14" t="s">
        <v>4588</v>
      </c>
      <c r="I6" s="14" t="s">
        <v>4589</v>
      </c>
      <c r="J6" s="14" t="s">
        <v>1063</v>
      </c>
      <c r="K6" s="14" t="s">
        <v>4580</v>
      </c>
      <c r="L6" s="14" t="s">
        <v>4590</v>
      </c>
    </row>
    <row r="7" ht="37.5" customHeight="1">
      <c r="A7" s="13"/>
      <c r="B7" s="14" t="s">
        <v>584</v>
      </c>
      <c r="C7" s="14" t="s">
        <v>28</v>
      </c>
      <c r="D7" s="14" t="s">
        <v>191</v>
      </c>
      <c r="E7" s="14" t="s">
        <v>73</v>
      </c>
      <c r="F7" s="14" t="s">
        <v>17</v>
      </c>
      <c r="G7" s="14" t="s">
        <v>2423</v>
      </c>
      <c r="H7" s="14" t="s">
        <v>4591</v>
      </c>
      <c r="I7" s="14" t="s">
        <v>4592</v>
      </c>
      <c r="J7" s="14" t="s">
        <v>3570</v>
      </c>
      <c r="K7" s="14" t="s">
        <v>262</v>
      </c>
      <c r="L7" s="14" t="s">
        <v>4593</v>
      </c>
    </row>
    <row r="8" ht="37.5" customHeight="1">
      <c r="A8" s="13"/>
      <c r="B8" s="14" t="s">
        <v>4594</v>
      </c>
      <c r="C8" s="14" t="s">
        <v>29</v>
      </c>
      <c r="D8" s="14" t="s">
        <v>89</v>
      </c>
      <c r="E8" s="14" t="s">
        <v>89</v>
      </c>
      <c r="F8" s="14" t="s">
        <v>13</v>
      </c>
      <c r="G8" s="14" t="s">
        <v>2423</v>
      </c>
      <c r="H8" s="14" t="s">
        <v>4595</v>
      </c>
      <c r="I8" s="14" t="s">
        <v>4596</v>
      </c>
      <c r="J8" s="14" t="s">
        <v>2779</v>
      </c>
      <c r="K8" s="14" t="s">
        <v>4580</v>
      </c>
      <c r="L8" s="14" t="s">
        <v>4597</v>
      </c>
    </row>
    <row r="9" ht="37.5" customHeight="1">
      <c r="A9" s="13"/>
      <c r="B9" s="14" t="s">
        <v>2743</v>
      </c>
      <c r="C9" s="14" t="s">
        <v>29</v>
      </c>
      <c r="D9" s="14" t="s">
        <v>191</v>
      </c>
      <c r="E9" s="14" t="s">
        <v>73</v>
      </c>
      <c r="F9" s="14" t="s">
        <v>13</v>
      </c>
      <c r="G9" s="14" t="s">
        <v>2423</v>
      </c>
      <c r="H9" s="14" t="s">
        <v>968</v>
      </c>
      <c r="I9" s="14" t="s">
        <v>2676</v>
      </c>
      <c r="J9" s="14" t="s">
        <v>279</v>
      </c>
      <c r="K9" s="14" t="s">
        <v>4580</v>
      </c>
      <c r="L9" s="14" t="s">
        <v>4598</v>
      </c>
    </row>
    <row r="10" ht="37.5" customHeight="1">
      <c r="A10" s="13"/>
      <c r="B10" s="14" t="s">
        <v>1408</v>
      </c>
      <c r="C10" s="14" t="s">
        <v>29</v>
      </c>
      <c r="D10" s="14" t="s">
        <v>89</v>
      </c>
      <c r="E10" s="14" t="s">
        <v>89</v>
      </c>
      <c r="F10" s="14" t="s">
        <v>30</v>
      </c>
      <c r="G10" s="14" t="s">
        <v>2423</v>
      </c>
      <c r="H10" s="14" t="s">
        <v>2606</v>
      </c>
      <c r="I10" s="14" t="s">
        <v>141</v>
      </c>
      <c r="J10" s="14" t="s">
        <v>3570</v>
      </c>
      <c r="K10" s="14" t="s">
        <v>60</v>
      </c>
      <c r="L10" s="14" t="s">
        <v>12</v>
      </c>
    </row>
    <row r="11" ht="37.5" customHeight="1">
      <c r="A11" s="13"/>
      <c r="B11" s="128" t="s">
        <v>1264</v>
      </c>
      <c r="C11" s="14" t="s">
        <v>29</v>
      </c>
      <c r="D11" s="14" t="s">
        <v>191</v>
      </c>
      <c r="E11" s="128" t="s">
        <v>65</v>
      </c>
      <c r="F11" s="14" t="s">
        <v>30</v>
      </c>
      <c r="G11" s="14" t="s">
        <v>2423</v>
      </c>
      <c r="H11" s="14" t="s">
        <v>2898</v>
      </c>
      <c r="I11" s="128" t="s">
        <v>141</v>
      </c>
      <c r="J11" s="128" t="s">
        <v>1517</v>
      </c>
      <c r="K11" s="14" t="s">
        <v>60</v>
      </c>
      <c r="L11" s="14" t="s">
        <v>4599</v>
      </c>
    </row>
    <row r="12" ht="37.5" customHeight="1">
      <c r="A12" s="13"/>
      <c r="B12" s="14" t="s">
        <v>4600</v>
      </c>
      <c r="C12" s="14" t="s">
        <v>2276</v>
      </c>
      <c r="D12" s="14" t="s">
        <v>89</v>
      </c>
      <c r="E12" s="14" t="s">
        <v>89</v>
      </c>
      <c r="F12" s="14" t="s">
        <v>32</v>
      </c>
      <c r="G12" s="14" t="s">
        <v>2423</v>
      </c>
      <c r="H12" s="14" t="s">
        <v>4601</v>
      </c>
      <c r="I12" s="14" t="s">
        <v>4602</v>
      </c>
      <c r="J12" s="14" t="s">
        <v>2779</v>
      </c>
      <c r="K12" s="14" t="s">
        <v>4580</v>
      </c>
      <c r="L12" s="14" t="s">
        <v>4603</v>
      </c>
    </row>
    <row r="13" ht="37.5" customHeight="1">
      <c r="A13" s="13"/>
      <c r="B13" s="14" t="s">
        <v>1412</v>
      </c>
      <c r="C13" s="14" t="s">
        <v>2276</v>
      </c>
      <c r="D13" s="14" t="s">
        <v>191</v>
      </c>
      <c r="E13" s="14" t="s">
        <v>73</v>
      </c>
      <c r="F13" s="14" t="s">
        <v>30</v>
      </c>
      <c r="G13" s="14" t="s">
        <v>2423</v>
      </c>
      <c r="H13" s="14" t="s">
        <v>2798</v>
      </c>
      <c r="I13" s="14" t="s">
        <v>1584</v>
      </c>
      <c r="J13" s="14" t="s">
        <v>1063</v>
      </c>
      <c r="K13" s="14" t="s">
        <v>4580</v>
      </c>
      <c r="L13" s="14" t="s">
        <v>4604</v>
      </c>
    </row>
    <row r="14" ht="37.5" customHeight="1">
      <c r="A14" s="13"/>
      <c r="B14" s="14" t="s">
        <v>2053</v>
      </c>
      <c r="C14" s="14" t="s">
        <v>4605</v>
      </c>
      <c r="D14" s="14" t="s">
        <v>89</v>
      </c>
      <c r="E14" s="14" t="s">
        <v>89</v>
      </c>
      <c r="F14" s="14" t="s">
        <v>14</v>
      </c>
      <c r="G14" s="14" t="s">
        <v>2423</v>
      </c>
      <c r="H14" s="14" t="s">
        <v>4606</v>
      </c>
      <c r="I14" s="14" t="s">
        <v>4607</v>
      </c>
      <c r="J14" s="14" t="s">
        <v>1517</v>
      </c>
      <c r="K14" s="14" t="s">
        <v>4580</v>
      </c>
      <c r="L14" s="14" t="s">
        <v>4608</v>
      </c>
    </row>
    <row r="15" ht="37.5" customHeight="1">
      <c r="A15" s="13"/>
      <c r="B15" s="14" t="s">
        <v>1418</v>
      </c>
      <c r="C15" s="14" t="s">
        <v>4605</v>
      </c>
      <c r="D15" s="14" t="s">
        <v>191</v>
      </c>
      <c r="E15" s="14" t="s">
        <v>73</v>
      </c>
      <c r="F15" s="14" t="s">
        <v>16</v>
      </c>
      <c r="G15" s="14" t="s">
        <v>2423</v>
      </c>
      <c r="H15" s="14" t="s">
        <v>4609</v>
      </c>
      <c r="I15" s="14" t="s">
        <v>1584</v>
      </c>
      <c r="J15" s="14" t="s">
        <v>1077</v>
      </c>
      <c r="K15" s="14" t="s">
        <v>4580</v>
      </c>
      <c r="L15" s="14" t="s">
        <v>4610</v>
      </c>
    </row>
    <row r="16" ht="37.5" customHeight="1">
      <c r="A16" s="13"/>
      <c r="B16" s="14" t="s">
        <v>1852</v>
      </c>
      <c r="C16" s="14" t="s">
        <v>4605</v>
      </c>
      <c r="D16" s="14" t="s">
        <v>191</v>
      </c>
      <c r="E16" s="14" t="s">
        <v>65</v>
      </c>
      <c r="F16" s="14" t="s">
        <v>24</v>
      </c>
      <c r="G16" s="14" t="s">
        <v>2423</v>
      </c>
      <c r="H16" s="14" t="s">
        <v>210</v>
      </c>
      <c r="I16" s="14" t="s">
        <v>968</v>
      </c>
      <c r="J16" s="14" t="s">
        <v>3134</v>
      </c>
      <c r="K16" s="14" t="s">
        <v>262</v>
      </c>
      <c r="L16" s="14" t="s">
        <v>4611</v>
      </c>
    </row>
    <row r="17" ht="37.5" customHeight="1">
      <c r="A17" s="13"/>
      <c r="B17" s="14" t="s">
        <v>1424</v>
      </c>
      <c r="C17" s="14" t="s">
        <v>35</v>
      </c>
      <c r="D17" s="14" t="s">
        <v>89</v>
      </c>
      <c r="E17" s="14" t="s">
        <v>83</v>
      </c>
      <c r="F17" s="14" t="s">
        <v>30</v>
      </c>
      <c r="G17" s="14" t="s">
        <v>2423</v>
      </c>
      <c r="H17" s="14" t="s">
        <v>4612</v>
      </c>
      <c r="I17" s="14" t="s">
        <v>4613</v>
      </c>
      <c r="J17" s="14" t="s">
        <v>1511</v>
      </c>
      <c r="K17" s="14" t="s">
        <v>4580</v>
      </c>
      <c r="L17" s="14" t="s">
        <v>4614</v>
      </c>
    </row>
    <row r="18" ht="37.5" customHeight="1">
      <c r="A18" s="13"/>
      <c r="B18" s="128" t="s">
        <v>1262</v>
      </c>
      <c r="C18" s="14" t="s">
        <v>35</v>
      </c>
      <c r="D18" s="14" t="s">
        <v>191</v>
      </c>
      <c r="E18" s="14" t="s">
        <v>65</v>
      </c>
      <c r="F18" s="128" t="s">
        <v>24</v>
      </c>
      <c r="G18" s="14" t="s">
        <v>2423</v>
      </c>
      <c r="H18" s="128" t="s">
        <v>4615</v>
      </c>
      <c r="I18" s="14" t="s">
        <v>4616</v>
      </c>
      <c r="J18" s="128" t="s">
        <v>2628</v>
      </c>
      <c r="K18" s="14" t="s">
        <v>4580</v>
      </c>
      <c r="L18" s="14" t="s">
        <v>4617</v>
      </c>
    </row>
    <row r="19" ht="37.5" customHeight="1">
      <c r="A19" s="13"/>
      <c r="B19" s="14" t="s">
        <v>1420</v>
      </c>
      <c r="C19" s="14" t="s">
        <v>36</v>
      </c>
      <c r="D19" s="14" t="s">
        <v>89</v>
      </c>
      <c r="E19" s="14" t="s">
        <v>83</v>
      </c>
      <c r="F19" s="14" t="s">
        <v>24</v>
      </c>
      <c r="G19" s="14" t="s">
        <v>2423</v>
      </c>
      <c r="H19" s="14" t="s">
        <v>4618</v>
      </c>
      <c r="I19" s="14" t="s">
        <v>4619</v>
      </c>
      <c r="J19" s="14" t="s">
        <v>1063</v>
      </c>
      <c r="K19" s="14" t="s">
        <v>4580</v>
      </c>
      <c r="L19" s="11" t="s">
        <v>4620</v>
      </c>
    </row>
    <row r="20" ht="37.5" customHeight="1">
      <c r="A20" s="13"/>
      <c r="B20" s="14" t="s">
        <v>3400</v>
      </c>
      <c r="C20" s="14" t="s">
        <v>36</v>
      </c>
      <c r="D20" s="14" t="s">
        <v>191</v>
      </c>
      <c r="E20" s="14" t="s">
        <v>65</v>
      </c>
      <c r="F20" s="14" t="s">
        <v>24</v>
      </c>
      <c r="G20" s="14" t="s">
        <v>2423</v>
      </c>
      <c r="H20" s="14" t="s">
        <v>4621</v>
      </c>
      <c r="I20" s="14" t="s">
        <v>2560</v>
      </c>
      <c r="J20" s="14" t="s">
        <v>2905</v>
      </c>
      <c r="K20" s="14" t="s">
        <v>4580</v>
      </c>
      <c r="L20" s="14" t="s">
        <v>4622</v>
      </c>
    </row>
  </sheetData>
  <autoFilter ref="$A$2:$L$20"/>
  <mergeCells count="3">
    <mergeCell ref="A1:B1"/>
    <mergeCell ref="C1:G1"/>
    <mergeCell ref="H1:J1"/>
  </mergeCells>
  <conditionalFormatting sqref="E3:E20">
    <cfRule type="cellIs" dxfId="13" priority="1" operator="equal">
      <formula>"Solar"</formula>
    </cfRule>
  </conditionalFormatting>
  <conditionalFormatting sqref="E3:E20">
    <cfRule type="cellIs" dxfId="20" priority="2" operator="equal">
      <formula>"Arc"</formula>
    </cfRule>
  </conditionalFormatting>
  <conditionalFormatting sqref="E3:E20">
    <cfRule type="cellIs" dxfId="21" priority="3" operator="equal">
      <formula>"Stasis"</formula>
    </cfRule>
  </conditionalFormatting>
  <conditionalFormatting sqref="E3:E20">
    <cfRule type="cellIs" dxfId="18" priority="4" operator="equal">
      <formula>"Void"</formula>
    </cfRule>
  </conditionalFormatting>
  <conditionalFormatting sqref="E3:E20">
    <cfRule type="cellIs" dxfId="17" priority="5" operator="equal">
      <formula>"Strand"</formula>
    </cfRule>
  </conditionalFormatting>
  <conditionalFormatting sqref="G3:G20">
    <cfRule type="cellIs" dxfId="17" priority="6" operator="equal">
      <formula>"Yes"</formula>
    </cfRule>
  </conditionalFormatting>
  <conditionalFormatting sqref="G3:G20">
    <cfRule type="cellIs" dxfId="2" priority="7" operator="equal">
      <formula>"No"</formula>
    </cfRule>
  </conditionalFormatting>
  <conditionalFormatting sqref="E3:E20">
    <cfRule type="cellIs" dxfId="19" priority="8" operator="equal">
      <formula>"Kinetic"</formula>
    </cfRule>
  </conditionalFormatting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3.75"/>
    <col customWidth="1" min="2" max="2" width="6.38"/>
    <col customWidth="1" min="3" max="3" width="18.5"/>
    <col customWidth="1" min="4" max="4" width="8.38"/>
    <col customWidth="1" min="5" max="5" width="7.75"/>
    <col customWidth="1" min="6" max="6" width="6.75"/>
    <col customWidth="1" min="7" max="7" width="7.88"/>
    <col customWidth="1" min="8" max="8" width="43.25"/>
    <col customWidth="1" min="9" max="13" width="8.0"/>
    <col customWidth="1" min="14" max="14" width="7.13"/>
    <col customWidth="1" min="15" max="15" width="8.38"/>
    <col customWidth="1" min="16" max="16" width="12.25"/>
  </cols>
  <sheetData>
    <row r="1" ht="16.5" customHeight="1">
      <c r="A1" s="202"/>
      <c r="B1" s="190" t="s">
        <v>1979</v>
      </c>
      <c r="I1" s="192" t="s">
        <v>2061</v>
      </c>
      <c r="O1" s="203" t="s">
        <v>4623</v>
      </c>
    </row>
    <row r="2" ht="16.5" customHeight="1">
      <c r="A2" s="202" t="s">
        <v>1783</v>
      </c>
      <c r="B2" s="126" t="s">
        <v>1781</v>
      </c>
      <c r="C2" s="126" t="s">
        <v>54</v>
      </c>
      <c r="D2" s="194" t="s">
        <v>2415</v>
      </c>
      <c r="E2" s="194" t="s">
        <v>0</v>
      </c>
      <c r="F2" s="126" t="s">
        <v>57</v>
      </c>
      <c r="G2" s="194" t="s">
        <v>4624</v>
      </c>
      <c r="H2" s="195" t="s">
        <v>4625</v>
      </c>
      <c r="I2" s="126" t="s">
        <v>4626</v>
      </c>
      <c r="J2" s="126" t="s">
        <v>6</v>
      </c>
      <c r="K2" s="126" t="s">
        <v>4627</v>
      </c>
      <c r="L2" s="126" t="s">
        <v>4628</v>
      </c>
      <c r="M2" s="126" t="s">
        <v>4629</v>
      </c>
      <c r="N2" s="196" t="s">
        <v>63</v>
      </c>
    </row>
    <row r="3" ht="37.5" customHeight="1">
      <c r="A3" s="114" t="s">
        <v>4630</v>
      </c>
      <c r="B3" s="129"/>
      <c r="C3" s="204" t="s">
        <v>1156</v>
      </c>
      <c r="D3" s="14">
        <v>1.0</v>
      </c>
      <c r="E3" s="14">
        <v>0.0</v>
      </c>
      <c r="F3" s="114" t="s">
        <v>4631</v>
      </c>
      <c r="G3" s="114" t="s">
        <v>4632</v>
      </c>
      <c r="H3" s="114" t="s">
        <v>4633</v>
      </c>
      <c r="I3" s="14" t="s">
        <v>4634</v>
      </c>
      <c r="J3" s="128" t="s">
        <v>4635</v>
      </c>
      <c r="K3" s="128" t="s">
        <v>4635</v>
      </c>
      <c r="L3" s="128" t="s">
        <v>4635</v>
      </c>
      <c r="M3" s="128" t="s">
        <v>4635</v>
      </c>
      <c r="N3" s="205" t="s">
        <v>71</v>
      </c>
      <c r="O3" s="14" t="s">
        <v>4635</v>
      </c>
      <c r="P3" s="14" t="s">
        <v>4636</v>
      </c>
    </row>
    <row r="4" ht="37.5" customHeight="1">
      <c r="A4" s="114" t="s">
        <v>4637</v>
      </c>
      <c r="B4" s="129"/>
      <c r="C4" s="206" t="s">
        <v>849</v>
      </c>
      <c r="D4" s="128">
        <v>24.0</v>
      </c>
      <c r="E4" s="128">
        <v>15.0</v>
      </c>
      <c r="F4" s="130" t="s">
        <v>4638</v>
      </c>
      <c r="G4" s="130" t="s">
        <v>4639</v>
      </c>
      <c r="H4" s="130" t="s">
        <v>4640</v>
      </c>
      <c r="I4" s="128" t="s">
        <v>4635</v>
      </c>
      <c r="J4" s="14" t="s">
        <v>4641</v>
      </c>
      <c r="K4" s="128" t="s">
        <v>4635</v>
      </c>
      <c r="L4" s="128" t="s">
        <v>4635</v>
      </c>
      <c r="M4" s="128" t="s">
        <v>4635</v>
      </c>
      <c r="N4" s="205" t="s">
        <v>92</v>
      </c>
      <c r="O4" s="14" t="s">
        <v>4634</v>
      </c>
      <c r="P4" s="128" t="s">
        <v>4642</v>
      </c>
    </row>
    <row r="5" ht="37.5" customHeight="1">
      <c r="A5" s="114" t="s">
        <v>4643</v>
      </c>
      <c r="B5" s="129"/>
      <c r="C5" s="204" t="s">
        <v>1134</v>
      </c>
      <c r="D5" s="14">
        <v>16.0</v>
      </c>
      <c r="E5" s="14">
        <v>0.0</v>
      </c>
      <c r="F5" s="114" t="s">
        <v>4631</v>
      </c>
      <c r="G5" s="114" t="s">
        <v>6</v>
      </c>
      <c r="H5" s="114" t="s">
        <v>4644</v>
      </c>
      <c r="I5" s="14" t="s">
        <v>4634</v>
      </c>
      <c r="J5" s="128" t="s">
        <v>4635</v>
      </c>
      <c r="K5" s="128" t="s">
        <v>4635</v>
      </c>
      <c r="L5" s="14" t="s">
        <v>4634</v>
      </c>
      <c r="M5" s="14" t="s">
        <v>4634</v>
      </c>
      <c r="N5" s="205" t="s">
        <v>92</v>
      </c>
      <c r="O5" s="14" t="s">
        <v>4645</v>
      </c>
      <c r="P5" s="14" t="s">
        <v>4646</v>
      </c>
    </row>
    <row r="6" ht="37.5" customHeight="1">
      <c r="A6" s="114" t="s">
        <v>4647</v>
      </c>
      <c r="B6" s="129"/>
      <c r="C6" s="204" t="s">
        <v>1142</v>
      </c>
      <c r="D6" s="14">
        <v>24.0</v>
      </c>
      <c r="E6" s="14">
        <v>70.0</v>
      </c>
      <c r="F6" s="114" t="s">
        <v>4638</v>
      </c>
      <c r="G6" s="130" t="s">
        <v>6</v>
      </c>
      <c r="H6" s="114" t="s">
        <v>4648</v>
      </c>
      <c r="I6" s="14" t="s">
        <v>4645</v>
      </c>
      <c r="J6" s="128" t="s">
        <v>4635</v>
      </c>
      <c r="K6" s="128" t="s">
        <v>4635</v>
      </c>
      <c r="L6" s="128" t="s">
        <v>4635</v>
      </c>
      <c r="M6" s="128" t="s">
        <v>4635</v>
      </c>
      <c r="N6" s="205" t="s">
        <v>92</v>
      </c>
      <c r="O6" s="14" t="s">
        <v>4641</v>
      </c>
      <c r="P6" s="14" t="s">
        <v>4649</v>
      </c>
    </row>
    <row r="7" ht="37.5" customHeight="1">
      <c r="A7" s="114" t="s">
        <v>4650</v>
      </c>
      <c r="B7" s="129"/>
      <c r="C7" s="204" t="s">
        <v>1430</v>
      </c>
      <c r="D7" s="14">
        <v>24.0</v>
      </c>
      <c r="E7" s="14">
        <v>15.0</v>
      </c>
      <c r="F7" s="114" t="s">
        <v>4638</v>
      </c>
      <c r="G7" s="114" t="s">
        <v>4632</v>
      </c>
      <c r="H7" s="114" t="s">
        <v>4651</v>
      </c>
      <c r="I7" s="128" t="s">
        <v>4635</v>
      </c>
      <c r="J7" s="14" t="s">
        <v>4634</v>
      </c>
      <c r="K7" s="14" t="s">
        <v>4634</v>
      </c>
      <c r="L7" s="14" t="s">
        <v>4645</v>
      </c>
      <c r="M7" s="128" t="s">
        <v>4635</v>
      </c>
      <c r="N7" s="205" t="s">
        <v>120</v>
      </c>
      <c r="O7" s="207" t="s">
        <v>4652</v>
      </c>
    </row>
    <row r="8" ht="37.5" customHeight="1">
      <c r="A8" s="114" t="s">
        <v>4653</v>
      </c>
      <c r="B8" s="130"/>
      <c r="C8" s="206" t="s">
        <v>707</v>
      </c>
      <c r="D8" s="128">
        <v>26.0</v>
      </c>
      <c r="E8" s="128">
        <v>39.0</v>
      </c>
      <c r="F8" s="130" t="s">
        <v>4631</v>
      </c>
      <c r="G8" s="114" t="s">
        <v>6</v>
      </c>
      <c r="H8" s="130" t="s">
        <v>4654</v>
      </c>
      <c r="I8" s="14" t="s">
        <v>4645</v>
      </c>
      <c r="J8" s="14" t="s">
        <v>4634</v>
      </c>
      <c r="K8" s="128" t="s">
        <v>4635</v>
      </c>
      <c r="L8" s="128" t="s">
        <v>4635</v>
      </c>
      <c r="M8" s="14" t="s">
        <v>4645</v>
      </c>
      <c r="N8" s="205" t="s">
        <v>120</v>
      </c>
    </row>
    <row r="9" ht="37.5" customHeight="1">
      <c r="A9" s="114"/>
      <c r="B9" s="130"/>
      <c r="C9" s="206" t="s">
        <v>4655</v>
      </c>
      <c r="D9" s="128">
        <v>29.0</v>
      </c>
      <c r="E9" s="128">
        <v>39.0</v>
      </c>
      <c r="F9" s="130" t="s">
        <v>4656</v>
      </c>
      <c r="G9" s="130" t="s">
        <v>4639</v>
      </c>
      <c r="H9" s="130"/>
      <c r="I9" s="14"/>
      <c r="J9" s="14"/>
      <c r="K9" s="128"/>
      <c r="L9" s="128"/>
      <c r="M9" s="14"/>
      <c r="N9" s="205"/>
    </row>
    <row r="10" ht="37.5" customHeight="1">
      <c r="A10" s="114"/>
      <c r="B10" s="130"/>
      <c r="C10" s="206" t="s">
        <v>4657</v>
      </c>
      <c r="D10" s="128">
        <v>29.0</v>
      </c>
      <c r="E10" s="128">
        <v>29.0</v>
      </c>
      <c r="F10" s="130" t="s">
        <v>4631</v>
      </c>
      <c r="G10" s="114" t="s">
        <v>4632</v>
      </c>
      <c r="H10" s="130"/>
      <c r="I10" s="14"/>
      <c r="J10" s="14"/>
      <c r="K10" s="128"/>
      <c r="L10" s="128"/>
      <c r="M10" s="14"/>
      <c r="N10" s="205"/>
    </row>
    <row r="11" ht="37.5" customHeight="1">
      <c r="A11" s="114"/>
      <c r="B11" s="130"/>
      <c r="C11" s="206" t="s">
        <v>4658</v>
      </c>
      <c r="D11" s="128">
        <v>29.0</v>
      </c>
      <c r="E11" s="128"/>
      <c r="F11" s="130" t="s">
        <v>4638</v>
      </c>
      <c r="G11" s="114"/>
      <c r="H11" s="130"/>
      <c r="I11" s="14"/>
      <c r="J11" s="14"/>
      <c r="K11" s="128"/>
      <c r="L11" s="128"/>
      <c r="M11" s="14"/>
      <c r="N11" s="205"/>
    </row>
    <row r="12" ht="37.5" customHeight="1">
      <c r="A12" s="114" t="s">
        <v>4659</v>
      </c>
      <c r="B12" s="129"/>
      <c r="C12" s="204" t="s">
        <v>1113</v>
      </c>
      <c r="D12" s="14">
        <v>15.0</v>
      </c>
      <c r="E12" s="14">
        <v>50.0</v>
      </c>
      <c r="F12" s="114" t="s">
        <v>4631</v>
      </c>
      <c r="G12" s="114" t="s">
        <v>4660</v>
      </c>
      <c r="H12" s="114" t="s">
        <v>4661</v>
      </c>
      <c r="I12" s="14" t="s">
        <v>4645</v>
      </c>
      <c r="J12" s="14" t="s">
        <v>4634</v>
      </c>
      <c r="K12" s="14" t="s">
        <v>4634</v>
      </c>
      <c r="L12" s="14" t="s">
        <v>4645</v>
      </c>
      <c r="M12" s="128" t="s">
        <v>4635</v>
      </c>
      <c r="N12" s="205" t="s">
        <v>120</v>
      </c>
    </row>
    <row r="13" ht="37.5" customHeight="1">
      <c r="A13" s="114"/>
      <c r="B13" s="129"/>
      <c r="C13" s="206" t="s">
        <v>4662</v>
      </c>
      <c r="D13" s="128">
        <v>28.0</v>
      </c>
      <c r="E13" s="128" t="s">
        <v>23</v>
      </c>
      <c r="F13" s="114" t="s">
        <v>4638</v>
      </c>
      <c r="G13" s="114" t="s">
        <v>4660</v>
      </c>
      <c r="H13" s="130" t="s">
        <v>4663</v>
      </c>
      <c r="I13" s="128" t="s">
        <v>4635</v>
      </c>
      <c r="J13" s="14" t="s">
        <v>4645</v>
      </c>
      <c r="K13" s="14" t="s">
        <v>4634</v>
      </c>
      <c r="L13" s="14" t="s">
        <v>4645</v>
      </c>
      <c r="M13" s="14" t="s">
        <v>4634</v>
      </c>
      <c r="N13" s="205" t="s">
        <v>120</v>
      </c>
    </row>
    <row r="14" ht="37.5" customHeight="1">
      <c r="A14" s="114" t="s">
        <v>4664</v>
      </c>
      <c r="B14" s="129"/>
      <c r="C14" s="204" t="s">
        <v>1148</v>
      </c>
      <c r="D14" s="14">
        <v>21.0</v>
      </c>
      <c r="E14" s="14">
        <v>60.0</v>
      </c>
      <c r="F14" s="114" t="s">
        <v>4638</v>
      </c>
      <c r="G14" s="114" t="s">
        <v>4632</v>
      </c>
      <c r="H14" s="114" t="s">
        <v>4665</v>
      </c>
      <c r="I14" s="14" t="s">
        <v>4645</v>
      </c>
      <c r="J14" s="128" t="s">
        <v>4635</v>
      </c>
      <c r="K14" s="14" t="s">
        <v>4634</v>
      </c>
      <c r="L14" s="128" t="s">
        <v>4635</v>
      </c>
      <c r="M14" s="14" t="s">
        <v>4634</v>
      </c>
      <c r="N14" s="205" t="s">
        <v>120</v>
      </c>
    </row>
    <row r="15" ht="37.5" customHeight="1">
      <c r="A15" s="114" t="s">
        <v>4666</v>
      </c>
      <c r="B15" s="129"/>
      <c r="C15" s="206" t="s">
        <v>1091</v>
      </c>
      <c r="D15" s="128">
        <v>25.0</v>
      </c>
      <c r="E15" s="128">
        <v>70.0</v>
      </c>
      <c r="F15" s="130" t="s">
        <v>4656</v>
      </c>
      <c r="G15" s="130" t="s">
        <v>4632</v>
      </c>
      <c r="H15" s="130" t="s">
        <v>4667</v>
      </c>
      <c r="I15" s="14" t="s">
        <v>4641</v>
      </c>
      <c r="J15" s="14" t="s">
        <v>4645</v>
      </c>
      <c r="K15" s="14" t="s">
        <v>4645</v>
      </c>
      <c r="L15" s="14" t="s">
        <v>4634</v>
      </c>
      <c r="M15" s="14" t="s">
        <v>4634</v>
      </c>
      <c r="N15" s="205" t="s">
        <v>136</v>
      </c>
    </row>
    <row r="16" ht="37.5" customHeight="1">
      <c r="A16" s="114" t="s">
        <v>4668</v>
      </c>
      <c r="B16" s="129"/>
      <c r="C16" s="204" t="s">
        <v>1485</v>
      </c>
      <c r="D16" s="14">
        <v>8.0</v>
      </c>
      <c r="E16" s="14">
        <v>50.0</v>
      </c>
      <c r="F16" s="130" t="s">
        <v>4638</v>
      </c>
      <c r="G16" s="114" t="s">
        <v>4632</v>
      </c>
      <c r="H16" s="114" t="s">
        <v>4669</v>
      </c>
      <c r="I16" s="14" t="s">
        <v>4641</v>
      </c>
      <c r="J16" s="14" t="s">
        <v>4634</v>
      </c>
      <c r="K16" s="128" t="s">
        <v>4635</v>
      </c>
      <c r="L16" s="14" t="s">
        <v>4641</v>
      </c>
      <c r="M16" s="14" t="s">
        <v>4645</v>
      </c>
      <c r="N16" s="205" t="s">
        <v>136</v>
      </c>
    </row>
    <row r="17" ht="37.5" customHeight="1">
      <c r="A17" s="114" t="s">
        <v>4670</v>
      </c>
      <c r="B17" s="129"/>
      <c r="C17" s="204" t="s">
        <v>1115</v>
      </c>
      <c r="D17" s="14">
        <v>1.0</v>
      </c>
      <c r="E17" s="14">
        <v>60.0</v>
      </c>
      <c r="F17" s="114" t="s">
        <v>4656</v>
      </c>
      <c r="G17" s="130" t="s">
        <v>4639</v>
      </c>
      <c r="H17" s="114" t="s">
        <v>4671</v>
      </c>
      <c r="I17" s="14" t="s">
        <v>4634</v>
      </c>
      <c r="J17" s="14" t="s">
        <v>4641</v>
      </c>
      <c r="K17" s="14" t="s">
        <v>4645</v>
      </c>
      <c r="L17" s="14" t="s">
        <v>4634</v>
      </c>
      <c r="M17" s="14" t="s">
        <v>4641</v>
      </c>
      <c r="N17" s="205" t="s">
        <v>136</v>
      </c>
    </row>
    <row r="18" ht="37.5" customHeight="1">
      <c r="A18" s="114" t="s">
        <v>4672</v>
      </c>
      <c r="B18" s="129"/>
      <c r="C18" s="204" t="s">
        <v>1123</v>
      </c>
      <c r="D18" s="14">
        <v>1.0</v>
      </c>
      <c r="E18" s="14">
        <v>0.0</v>
      </c>
      <c r="F18" s="114" t="s">
        <v>4631</v>
      </c>
      <c r="G18" s="130" t="s">
        <v>6</v>
      </c>
      <c r="H18" s="114" t="s">
        <v>4673</v>
      </c>
      <c r="I18" s="14" t="s">
        <v>4641</v>
      </c>
      <c r="J18" s="14" t="s">
        <v>4634</v>
      </c>
      <c r="K18" s="128" t="s">
        <v>4635</v>
      </c>
      <c r="L18" s="14" t="s">
        <v>4645</v>
      </c>
      <c r="M18" s="14" t="s">
        <v>4641</v>
      </c>
      <c r="N18" s="205" t="s">
        <v>136</v>
      </c>
      <c r="O18" s="14"/>
      <c r="P18" s="14"/>
    </row>
    <row r="19" ht="37.5" customHeight="1">
      <c r="A19" s="114" t="s">
        <v>4674</v>
      </c>
      <c r="B19" s="129"/>
      <c r="C19" s="206" t="s">
        <v>687</v>
      </c>
      <c r="D19" s="128">
        <v>4.0</v>
      </c>
      <c r="E19" s="128">
        <v>100.0</v>
      </c>
      <c r="F19" s="130" t="s">
        <v>4638</v>
      </c>
      <c r="G19" s="130" t="s">
        <v>6</v>
      </c>
      <c r="H19" s="130" t="s">
        <v>4675</v>
      </c>
      <c r="I19" s="14" t="s">
        <v>4645</v>
      </c>
      <c r="J19" s="14" t="s">
        <v>4634</v>
      </c>
      <c r="K19" s="14" t="s">
        <v>4634</v>
      </c>
      <c r="L19" s="14" t="s">
        <v>4645</v>
      </c>
      <c r="M19" s="14" t="s">
        <v>4641</v>
      </c>
      <c r="N19" s="205" t="s">
        <v>136</v>
      </c>
    </row>
    <row r="20" ht="37.5" customHeight="1">
      <c r="A20" s="114" t="s">
        <v>4676</v>
      </c>
      <c r="B20" s="129"/>
      <c r="C20" s="204" t="s">
        <v>1496</v>
      </c>
      <c r="D20" s="14">
        <v>4.0</v>
      </c>
      <c r="E20" s="14">
        <v>52.0</v>
      </c>
      <c r="F20" s="114" t="s">
        <v>4656</v>
      </c>
      <c r="G20" s="130" t="s">
        <v>4639</v>
      </c>
      <c r="H20" s="114" t="s">
        <v>4677</v>
      </c>
      <c r="I20" s="14" t="s">
        <v>4634</v>
      </c>
      <c r="J20" s="14" t="s">
        <v>4641</v>
      </c>
      <c r="K20" s="14" t="s">
        <v>4645</v>
      </c>
      <c r="L20" s="14" t="s">
        <v>4645</v>
      </c>
      <c r="M20" s="14" t="s">
        <v>4645</v>
      </c>
      <c r="N20" s="205" t="s">
        <v>136</v>
      </c>
    </row>
    <row r="21" ht="37.5" customHeight="1">
      <c r="A21" s="114" t="s">
        <v>4678</v>
      </c>
      <c r="B21" s="129"/>
      <c r="C21" s="206" t="s">
        <v>4679</v>
      </c>
      <c r="D21" s="128">
        <v>27.0</v>
      </c>
      <c r="E21" s="128">
        <v>64.0</v>
      </c>
      <c r="F21" s="114" t="s">
        <v>4631</v>
      </c>
      <c r="G21" s="114" t="s">
        <v>6</v>
      </c>
      <c r="H21" s="130" t="s">
        <v>4680</v>
      </c>
      <c r="I21" s="14" t="s">
        <v>4645</v>
      </c>
      <c r="J21" s="14" t="s">
        <v>4634</v>
      </c>
      <c r="K21" s="128" t="s">
        <v>4635</v>
      </c>
      <c r="L21" s="14" t="s">
        <v>4634</v>
      </c>
      <c r="M21" s="14" t="s">
        <v>4645</v>
      </c>
      <c r="N21" s="205" t="s">
        <v>136</v>
      </c>
    </row>
    <row r="22" ht="37.5" customHeight="1">
      <c r="A22" s="114"/>
      <c r="B22" s="129"/>
      <c r="C22" s="206" t="s">
        <v>4681</v>
      </c>
      <c r="D22" s="128">
        <v>27.0</v>
      </c>
      <c r="E22" s="128">
        <v>40.0</v>
      </c>
      <c r="F22" s="114" t="s">
        <v>4631</v>
      </c>
      <c r="G22" s="114" t="s">
        <v>6</v>
      </c>
      <c r="H22" s="130" t="s">
        <v>4682</v>
      </c>
      <c r="I22" s="14" t="s">
        <v>4645</v>
      </c>
      <c r="J22" s="14" t="s">
        <v>4634</v>
      </c>
      <c r="K22" s="14" t="s">
        <v>4634</v>
      </c>
      <c r="L22" s="14" t="s">
        <v>4641</v>
      </c>
      <c r="M22" s="14" t="s">
        <v>4645</v>
      </c>
      <c r="N22" s="205" t="s">
        <v>136</v>
      </c>
    </row>
    <row r="23" ht="37.5" customHeight="1">
      <c r="A23" s="114" t="s">
        <v>4683</v>
      </c>
      <c r="B23" s="129"/>
      <c r="C23" s="204" t="s">
        <v>1090</v>
      </c>
      <c r="D23" s="14">
        <v>15.0</v>
      </c>
      <c r="E23" s="14">
        <v>44.0</v>
      </c>
      <c r="F23" s="130" t="s">
        <v>4638</v>
      </c>
      <c r="G23" s="114" t="s">
        <v>4684</v>
      </c>
      <c r="H23" s="114" t="s">
        <v>4685</v>
      </c>
      <c r="I23" s="14" t="s">
        <v>4634</v>
      </c>
      <c r="J23" s="14" t="s">
        <v>4641</v>
      </c>
      <c r="K23" s="14" t="s">
        <v>4641</v>
      </c>
      <c r="L23" s="14" t="s">
        <v>4641</v>
      </c>
      <c r="M23" s="14" t="s">
        <v>4645</v>
      </c>
      <c r="N23" s="205" t="s">
        <v>167</v>
      </c>
    </row>
    <row r="24" ht="37.5" customHeight="1">
      <c r="A24" s="114" t="s">
        <v>4686</v>
      </c>
      <c r="B24" s="129"/>
      <c r="C24" s="204" t="s">
        <v>1453</v>
      </c>
      <c r="D24" s="14">
        <v>5.0</v>
      </c>
      <c r="E24" s="14">
        <v>0.0</v>
      </c>
      <c r="F24" s="114" t="s">
        <v>4631</v>
      </c>
      <c r="G24" s="114" t="s">
        <v>4687</v>
      </c>
      <c r="H24" s="114" t="s">
        <v>4688</v>
      </c>
      <c r="I24" s="14" t="s">
        <v>4641</v>
      </c>
      <c r="J24" s="14" t="s">
        <v>4641</v>
      </c>
      <c r="K24" s="14" t="s">
        <v>4645</v>
      </c>
      <c r="L24" s="14" t="s">
        <v>4641</v>
      </c>
      <c r="M24" s="14" t="s">
        <v>4634</v>
      </c>
      <c r="N24" s="205" t="s">
        <v>167</v>
      </c>
    </row>
    <row r="25" ht="37.5" customHeight="1">
      <c r="A25" s="114" t="s">
        <v>4689</v>
      </c>
      <c r="B25" s="129"/>
      <c r="C25" s="204" t="s">
        <v>1095</v>
      </c>
      <c r="D25" s="14">
        <v>7.0</v>
      </c>
      <c r="E25" s="14">
        <v>80.0</v>
      </c>
      <c r="F25" s="114" t="s">
        <v>4656</v>
      </c>
      <c r="G25" s="130" t="s">
        <v>4639</v>
      </c>
      <c r="H25" s="114" t="s">
        <v>4690</v>
      </c>
      <c r="I25" s="14" t="s">
        <v>4641</v>
      </c>
      <c r="J25" s="14" t="s">
        <v>4641</v>
      </c>
      <c r="K25" s="14" t="s">
        <v>4641</v>
      </c>
      <c r="L25" s="14" t="s">
        <v>4645</v>
      </c>
      <c r="M25" s="14" t="s">
        <v>4645</v>
      </c>
      <c r="N25" s="205" t="s">
        <v>167</v>
      </c>
    </row>
    <row r="26" ht="37.5" customHeight="1">
      <c r="A26" s="114" t="s">
        <v>4691</v>
      </c>
      <c r="B26" s="129"/>
      <c r="C26" s="204" t="s">
        <v>1097</v>
      </c>
      <c r="D26" s="14">
        <v>9.0</v>
      </c>
      <c r="E26" s="14">
        <v>30.0</v>
      </c>
      <c r="F26" s="130" t="s">
        <v>4638</v>
      </c>
      <c r="G26" s="130" t="s">
        <v>6</v>
      </c>
      <c r="H26" s="114" t="s">
        <v>4692</v>
      </c>
      <c r="I26" s="14" t="s">
        <v>4641</v>
      </c>
      <c r="J26" s="14" t="s">
        <v>4645</v>
      </c>
      <c r="K26" s="14" t="s">
        <v>4641</v>
      </c>
      <c r="L26" s="14" t="s">
        <v>4645</v>
      </c>
      <c r="M26" s="14" t="s">
        <v>4641</v>
      </c>
      <c r="N26" s="205" t="s">
        <v>167</v>
      </c>
    </row>
    <row r="27" ht="37.5" customHeight="1">
      <c r="A27" s="114" t="s">
        <v>4693</v>
      </c>
      <c r="B27" s="129"/>
      <c r="C27" s="204" t="s">
        <v>859</v>
      </c>
      <c r="D27" s="14">
        <v>23.0</v>
      </c>
      <c r="E27" s="14">
        <v>50.0</v>
      </c>
      <c r="F27" s="130" t="s">
        <v>4638</v>
      </c>
      <c r="G27" s="130" t="s">
        <v>4639</v>
      </c>
      <c r="H27" s="114" t="s">
        <v>4694</v>
      </c>
      <c r="I27" s="14" t="s">
        <v>4645</v>
      </c>
      <c r="J27" s="14" t="s">
        <v>4641</v>
      </c>
      <c r="K27" s="14" t="s">
        <v>4641</v>
      </c>
      <c r="L27" s="14" t="s">
        <v>4645</v>
      </c>
      <c r="M27" s="14" t="s">
        <v>4641</v>
      </c>
      <c r="N27" s="205" t="s">
        <v>167</v>
      </c>
    </row>
    <row r="28" ht="37.5" customHeight="1">
      <c r="A28" s="114" t="s">
        <v>4695</v>
      </c>
      <c r="B28" s="129"/>
      <c r="C28" s="204" t="s">
        <v>861</v>
      </c>
      <c r="D28" s="14">
        <v>12.0</v>
      </c>
      <c r="E28" s="14">
        <v>70.0</v>
      </c>
      <c r="F28" s="130" t="s">
        <v>4638</v>
      </c>
      <c r="G28" s="130" t="s">
        <v>6</v>
      </c>
      <c r="H28" s="114" t="s">
        <v>4696</v>
      </c>
      <c r="I28" s="14" t="s">
        <v>4641</v>
      </c>
      <c r="J28" s="14" t="s">
        <v>4641</v>
      </c>
      <c r="K28" s="14" t="s">
        <v>4641</v>
      </c>
      <c r="L28" s="14" t="s">
        <v>4641</v>
      </c>
      <c r="M28" s="14" t="s">
        <v>4645</v>
      </c>
      <c r="N28" s="205" t="s">
        <v>167</v>
      </c>
    </row>
    <row r="29" ht="37.5" customHeight="1">
      <c r="A29" s="114" t="s">
        <v>4697</v>
      </c>
      <c r="B29" s="129"/>
      <c r="C29" s="204" t="s">
        <v>1104</v>
      </c>
      <c r="D29" s="14">
        <v>20.0</v>
      </c>
      <c r="E29" s="14">
        <v>51.0</v>
      </c>
      <c r="F29" s="130" t="s">
        <v>4638</v>
      </c>
      <c r="G29" s="130" t="s">
        <v>4698</v>
      </c>
      <c r="H29" s="114" t="s">
        <v>4699</v>
      </c>
      <c r="I29" s="14" t="s">
        <v>4645</v>
      </c>
      <c r="J29" s="14" t="s">
        <v>4641</v>
      </c>
      <c r="K29" s="14" t="s">
        <v>4641</v>
      </c>
      <c r="L29" s="14" t="s">
        <v>4641</v>
      </c>
      <c r="M29" s="14" t="s">
        <v>4641</v>
      </c>
      <c r="N29" s="205" t="s">
        <v>167</v>
      </c>
    </row>
    <row r="30" ht="37.5" customHeight="1">
      <c r="A30" s="114" t="s">
        <v>4700</v>
      </c>
      <c r="B30" s="129"/>
      <c r="C30" s="204" t="s">
        <v>889</v>
      </c>
      <c r="D30" s="14">
        <v>1.0</v>
      </c>
      <c r="E30" s="14">
        <v>60.0</v>
      </c>
      <c r="F30" s="114" t="s">
        <v>4631</v>
      </c>
      <c r="G30" s="114" t="s">
        <v>6</v>
      </c>
      <c r="H30" s="114" t="s">
        <v>4701</v>
      </c>
      <c r="I30" s="14" t="s">
        <v>4641</v>
      </c>
      <c r="J30" s="14" t="s">
        <v>4634</v>
      </c>
      <c r="K30" s="14" t="s">
        <v>4641</v>
      </c>
      <c r="L30" s="14" t="s">
        <v>4641</v>
      </c>
      <c r="M30" s="14" t="s">
        <v>4641</v>
      </c>
      <c r="N30" s="205" t="s">
        <v>167</v>
      </c>
    </row>
    <row r="31" ht="37.5" customHeight="1">
      <c r="A31" s="114" t="s">
        <v>4702</v>
      </c>
      <c r="B31" s="129"/>
      <c r="C31" s="204" t="s">
        <v>891</v>
      </c>
      <c r="D31" s="14">
        <v>22.0</v>
      </c>
      <c r="E31" s="14">
        <v>70.0</v>
      </c>
      <c r="F31" s="130" t="s">
        <v>4638</v>
      </c>
      <c r="G31" s="130" t="s">
        <v>4639</v>
      </c>
      <c r="H31" s="114" t="s">
        <v>4703</v>
      </c>
      <c r="I31" s="14" t="s">
        <v>4634</v>
      </c>
      <c r="J31" s="14" t="s">
        <v>4641</v>
      </c>
      <c r="K31" s="14" t="s">
        <v>4645</v>
      </c>
      <c r="L31" s="14" t="s">
        <v>4641</v>
      </c>
      <c r="M31" s="14" t="s">
        <v>4641</v>
      </c>
      <c r="N31" s="205" t="s">
        <v>167</v>
      </c>
    </row>
    <row r="32" ht="37.5" customHeight="1">
      <c r="A32" s="114" t="s">
        <v>4704</v>
      </c>
      <c r="B32" s="129"/>
      <c r="C32" s="204" t="s">
        <v>1111</v>
      </c>
      <c r="D32" s="14">
        <v>16.0</v>
      </c>
      <c r="E32" s="14">
        <v>30.0</v>
      </c>
      <c r="F32" s="114" t="s">
        <v>4638</v>
      </c>
      <c r="G32" s="114" t="s">
        <v>4632</v>
      </c>
      <c r="H32" s="114" t="s">
        <v>4705</v>
      </c>
      <c r="I32" s="14" t="s">
        <v>4641</v>
      </c>
      <c r="J32" s="14" t="s">
        <v>4645</v>
      </c>
      <c r="K32" s="14" t="s">
        <v>4641</v>
      </c>
      <c r="L32" s="14" t="s">
        <v>4645</v>
      </c>
      <c r="M32" s="14" t="s">
        <v>4645</v>
      </c>
      <c r="N32" s="205" t="s">
        <v>167</v>
      </c>
    </row>
    <row r="33" ht="37.5" customHeight="1">
      <c r="A33" s="114" t="s">
        <v>4706</v>
      </c>
      <c r="B33" s="129"/>
      <c r="C33" s="204" t="s">
        <v>4707</v>
      </c>
      <c r="D33" s="14">
        <v>8.0</v>
      </c>
      <c r="E33" s="14">
        <v>75.0</v>
      </c>
      <c r="F33" s="130" t="s">
        <v>4638</v>
      </c>
      <c r="G33" s="130" t="s">
        <v>6</v>
      </c>
      <c r="H33" s="114" t="s">
        <v>4708</v>
      </c>
      <c r="I33" s="14" t="s">
        <v>4641</v>
      </c>
      <c r="J33" s="14" t="s">
        <v>4641</v>
      </c>
      <c r="K33" s="14" t="s">
        <v>4645</v>
      </c>
      <c r="L33" s="14" t="s">
        <v>4641</v>
      </c>
      <c r="M33" s="14" t="s">
        <v>4645</v>
      </c>
      <c r="N33" s="205" t="s">
        <v>167</v>
      </c>
    </row>
    <row r="34" ht="37.5" customHeight="1">
      <c r="A34" s="114" t="s">
        <v>4709</v>
      </c>
      <c r="B34" s="129"/>
      <c r="C34" s="204" t="s">
        <v>1441</v>
      </c>
      <c r="D34" s="14">
        <v>24.0</v>
      </c>
      <c r="E34" s="14">
        <v>35.0</v>
      </c>
      <c r="F34" s="130" t="s">
        <v>4638</v>
      </c>
      <c r="G34" s="114" t="s">
        <v>6</v>
      </c>
      <c r="H34" s="114" t="s">
        <v>4710</v>
      </c>
      <c r="I34" s="14" t="s">
        <v>4641</v>
      </c>
      <c r="J34" s="14" t="s">
        <v>4641</v>
      </c>
      <c r="K34" s="14" t="s">
        <v>4641</v>
      </c>
      <c r="L34" s="14" t="s">
        <v>4641</v>
      </c>
      <c r="M34" s="14" t="s">
        <v>4641</v>
      </c>
      <c r="N34" s="205" t="s">
        <v>167</v>
      </c>
    </row>
    <row r="35" ht="37.5" customHeight="1">
      <c r="A35" s="114" t="s">
        <v>4711</v>
      </c>
      <c r="B35" s="129"/>
      <c r="C35" s="204" t="s">
        <v>4712</v>
      </c>
      <c r="D35" s="14">
        <v>16.0</v>
      </c>
      <c r="E35" s="14">
        <v>45.0</v>
      </c>
      <c r="F35" s="114" t="s">
        <v>4631</v>
      </c>
      <c r="G35" s="114" t="s">
        <v>6</v>
      </c>
      <c r="H35" s="114" t="s">
        <v>4713</v>
      </c>
      <c r="I35" s="14" t="s">
        <v>4641</v>
      </c>
      <c r="J35" s="14" t="s">
        <v>4645</v>
      </c>
      <c r="K35" s="14" t="s">
        <v>4645</v>
      </c>
      <c r="L35" s="14" t="s">
        <v>4641</v>
      </c>
      <c r="M35" s="14" t="s">
        <v>4641</v>
      </c>
      <c r="N35" s="205" t="s">
        <v>167</v>
      </c>
    </row>
    <row r="36" ht="37.5" customHeight="1">
      <c r="A36" s="114" t="s">
        <v>4714</v>
      </c>
      <c r="B36" s="129"/>
      <c r="C36" s="204" t="s">
        <v>1472</v>
      </c>
      <c r="D36" s="14">
        <v>19.0</v>
      </c>
      <c r="E36" s="14">
        <v>47.0</v>
      </c>
      <c r="F36" s="114" t="s">
        <v>4656</v>
      </c>
      <c r="G36" s="114" t="s">
        <v>4687</v>
      </c>
      <c r="H36" s="114" t="s">
        <v>4715</v>
      </c>
      <c r="I36" s="14" t="s">
        <v>4641</v>
      </c>
      <c r="J36" s="14" t="s">
        <v>4645</v>
      </c>
      <c r="K36" s="14" t="s">
        <v>4641</v>
      </c>
      <c r="L36" s="14" t="s">
        <v>4641</v>
      </c>
      <c r="M36" s="14" t="s">
        <v>4641</v>
      </c>
      <c r="N36" s="205" t="s">
        <v>167</v>
      </c>
    </row>
    <row r="37" ht="37.5" customHeight="1">
      <c r="A37" s="114" t="s">
        <v>4716</v>
      </c>
      <c r="B37" s="129"/>
      <c r="C37" s="206" t="s">
        <v>1117</v>
      </c>
      <c r="D37" s="128">
        <v>25.0</v>
      </c>
      <c r="E37" s="128">
        <v>0.0</v>
      </c>
      <c r="F37" s="130" t="s">
        <v>4638</v>
      </c>
      <c r="G37" s="114" t="s">
        <v>4632</v>
      </c>
      <c r="H37" s="130" t="s">
        <v>4717</v>
      </c>
      <c r="I37" s="14" t="s">
        <v>4645</v>
      </c>
      <c r="J37" s="14" t="s">
        <v>4641</v>
      </c>
      <c r="K37" s="14" t="s">
        <v>4641</v>
      </c>
      <c r="L37" s="14" t="s">
        <v>4641</v>
      </c>
      <c r="M37" s="14" t="s">
        <v>4645</v>
      </c>
      <c r="N37" s="205" t="s">
        <v>167</v>
      </c>
    </row>
    <row r="38" ht="37.5" customHeight="1">
      <c r="A38" s="114" t="s">
        <v>4718</v>
      </c>
      <c r="B38" s="129"/>
      <c r="C38" s="204" t="s">
        <v>1445</v>
      </c>
      <c r="D38" s="14">
        <v>5.0</v>
      </c>
      <c r="E38" s="14">
        <v>60.0</v>
      </c>
      <c r="F38" s="130" t="s">
        <v>4638</v>
      </c>
      <c r="G38" s="130" t="s">
        <v>6</v>
      </c>
      <c r="H38" s="114" t="s">
        <v>4719</v>
      </c>
      <c r="I38" s="14" t="s">
        <v>4645</v>
      </c>
      <c r="J38" s="14" t="s">
        <v>4645</v>
      </c>
      <c r="K38" s="14" t="s">
        <v>4645</v>
      </c>
      <c r="L38" s="14" t="s">
        <v>4641</v>
      </c>
      <c r="M38" s="14" t="s">
        <v>4645</v>
      </c>
      <c r="N38" s="205" t="s">
        <v>167</v>
      </c>
    </row>
    <row r="39" ht="37.5" customHeight="1">
      <c r="A39" s="114" t="s">
        <v>4720</v>
      </c>
      <c r="B39" s="129"/>
      <c r="C39" s="204" t="s">
        <v>1119</v>
      </c>
      <c r="D39" s="14">
        <v>24.0</v>
      </c>
      <c r="E39" s="14">
        <v>54.0</v>
      </c>
      <c r="F39" s="114" t="s">
        <v>4656</v>
      </c>
      <c r="G39" s="130" t="s">
        <v>4639</v>
      </c>
      <c r="H39" s="114" t="s">
        <v>4721</v>
      </c>
      <c r="I39" s="14" t="s">
        <v>4645</v>
      </c>
      <c r="J39" s="14" t="s">
        <v>4641</v>
      </c>
      <c r="K39" s="14" t="s">
        <v>4645</v>
      </c>
      <c r="L39" s="14" t="s">
        <v>4641</v>
      </c>
      <c r="M39" s="14" t="s">
        <v>4641</v>
      </c>
      <c r="N39" s="205" t="s">
        <v>167</v>
      </c>
    </row>
    <row r="40" ht="37.5" customHeight="1">
      <c r="A40" s="114" t="s">
        <v>4722</v>
      </c>
      <c r="B40" s="129"/>
      <c r="C40" s="204" t="s">
        <v>1126</v>
      </c>
      <c r="D40" s="14">
        <v>7.0</v>
      </c>
      <c r="E40" s="14">
        <v>58.0</v>
      </c>
      <c r="F40" s="114" t="s">
        <v>4656</v>
      </c>
      <c r="G40" s="114" t="s">
        <v>4632</v>
      </c>
      <c r="H40" s="114" t="s">
        <v>4723</v>
      </c>
      <c r="I40" s="14" t="s">
        <v>4641</v>
      </c>
      <c r="J40" s="14" t="s">
        <v>4645</v>
      </c>
      <c r="K40" s="14" t="s">
        <v>4641</v>
      </c>
      <c r="L40" s="14" t="s">
        <v>4641</v>
      </c>
      <c r="M40" s="14" t="s">
        <v>4645</v>
      </c>
      <c r="N40" s="205" t="s">
        <v>167</v>
      </c>
    </row>
    <row r="41" ht="37.5" customHeight="1">
      <c r="A41" s="114" t="s">
        <v>4724</v>
      </c>
      <c r="B41" s="129"/>
      <c r="C41" s="206" t="s">
        <v>685</v>
      </c>
      <c r="D41" s="128">
        <v>26.0</v>
      </c>
      <c r="E41" s="128">
        <v>54.0</v>
      </c>
      <c r="F41" s="130" t="s">
        <v>4638</v>
      </c>
      <c r="G41" s="130" t="s">
        <v>6</v>
      </c>
      <c r="H41" s="130" t="s">
        <v>4725</v>
      </c>
      <c r="I41" s="14" t="s">
        <v>4645</v>
      </c>
      <c r="J41" s="14" t="s">
        <v>4645</v>
      </c>
      <c r="K41" s="14" t="s">
        <v>4645</v>
      </c>
      <c r="L41" s="14" t="s">
        <v>4645</v>
      </c>
      <c r="M41" s="14" t="s">
        <v>4641</v>
      </c>
      <c r="N41" s="205" t="s">
        <v>167</v>
      </c>
    </row>
    <row r="42" ht="37.5" customHeight="1">
      <c r="A42" s="114" t="s">
        <v>4726</v>
      </c>
      <c r="B42" s="129"/>
      <c r="C42" s="204" t="s">
        <v>556</v>
      </c>
      <c r="D42" s="14">
        <v>6.0</v>
      </c>
      <c r="E42" s="14">
        <v>54.0</v>
      </c>
      <c r="F42" s="114" t="s">
        <v>4656</v>
      </c>
      <c r="G42" s="114" t="s">
        <v>4687</v>
      </c>
      <c r="H42" s="114" t="s">
        <v>4727</v>
      </c>
      <c r="I42" s="14" t="s">
        <v>4645</v>
      </c>
      <c r="J42" s="14" t="s">
        <v>4641</v>
      </c>
      <c r="K42" s="14" t="s">
        <v>4641</v>
      </c>
      <c r="L42" s="14" t="s">
        <v>4641</v>
      </c>
      <c r="M42" s="14" t="s">
        <v>4641</v>
      </c>
      <c r="N42" s="205" t="s">
        <v>167</v>
      </c>
      <c r="O42" s="14"/>
      <c r="P42" s="14"/>
    </row>
    <row r="43" ht="37.5" customHeight="1">
      <c r="A43" s="114" t="s">
        <v>4728</v>
      </c>
      <c r="B43" s="129"/>
      <c r="C43" s="204" t="s">
        <v>1140</v>
      </c>
      <c r="D43" s="14">
        <v>12.0</v>
      </c>
      <c r="E43" s="14">
        <v>40.0</v>
      </c>
      <c r="F43" s="114" t="s">
        <v>4631</v>
      </c>
      <c r="G43" s="114" t="s">
        <v>4632</v>
      </c>
      <c r="H43" s="114" t="s">
        <v>4729</v>
      </c>
      <c r="I43" s="14" t="s">
        <v>4641</v>
      </c>
      <c r="J43" s="14" t="s">
        <v>4641</v>
      </c>
      <c r="K43" s="14" t="s">
        <v>4641</v>
      </c>
      <c r="L43" s="14" t="s">
        <v>4641</v>
      </c>
      <c r="M43" s="14" t="s">
        <v>4634</v>
      </c>
      <c r="N43" s="205" t="s">
        <v>167</v>
      </c>
    </row>
    <row r="44" ht="37.5" customHeight="1">
      <c r="A44" s="114" t="s">
        <v>4730</v>
      </c>
      <c r="B44" s="129"/>
      <c r="C44" s="204" t="s">
        <v>754</v>
      </c>
      <c r="D44" s="14">
        <v>1.0</v>
      </c>
      <c r="E44" s="14">
        <v>53.0</v>
      </c>
      <c r="F44" s="114" t="s">
        <v>4656</v>
      </c>
      <c r="G44" s="130" t="s">
        <v>4639</v>
      </c>
      <c r="H44" s="114" t="s">
        <v>4731</v>
      </c>
      <c r="I44" s="14" t="s">
        <v>4634</v>
      </c>
      <c r="J44" s="14" t="s">
        <v>4641</v>
      </c>
      <c r="K44" s="14" t="s">
        <v>4645</v>
      </c>
      <c r="L44" s="14" t="s">
        <v>4645</v>
      </c>
      <c r="M44" s="14" t="s">
        <v>4641</v>
      </c>
      <c r="N44" s="205" t="s">
        <v>167</v>
      </c>
    </row>
    <row r="45" ht="37.5" customHeight="1">
      <c r="A45" s="114" t="s">
        <v>4732</v>
      </c>
      <c r="B45" s="129"/>
      <c r="C45" s="204" t="s">
        <v>4733</v>
      </c>
      <c r="D45" s="14">
        <v>22.0</v>
      </c>
      <c r="E45" s="14">
        <v>33.0</v>
      </c>
      <c r="F45" s="130" t="s">
        <v>4638</v>
      </c>
      <c r="G45" s="114" t="s">
        <v>4684</v>
      </c>
      <c r="H45" s="114" t="s">
        <v>4734</v>
      </c>
      <c r="I45" s="14" t="s">
        <v>4645</v>
      </c>
      <c r="J45" s="14" t="s">
        <v>4641</v>
      </c>
      <c r="K45" s="14" t="s">
        <v>4641</v>
      </c>
      <c r="L45" s="14" t="s">
        <v>4641</v>
      </c>
      <c r="M45" s="14" t="s">
        <v>4634</v>
      </c>
      <c r="N45" s="205" t="s">
        <v>167</v>
      </c>
      <c r="O45" s="14"/>
      <c r="P45" s="14"/>
    </row>
    <row r="46" ht="37.5" customHeight="1">
      <c r="A46" s="114" t="s">
        <v>4735</v>
      </c>
      <c r="B46" s="129"/>
      <c r="C46" s="204" t="s">
        <v>1144</v>
      </c>
      <c r="D46" s="14">
        <v>10.0</v>
      </c>
      <c r="E46" s="14">
        <v>0.0</v>
      </c>
      <c r="F46" s="130" t="s">
        <v>4638</v>
      </c>
      <c r="G46" s="130" t="s">
        <v>6</v>
      </c>
      <c r="H46" s="114" t="s">
        <v>4736</v>
      </c>
      <c r="I46" s="14" t="s">
        <v>4641</v>
      </c>
      <c r="J46" s="14" t="s">
        <v>4645</v>
      </c>
      <c r="K46" s="14" t="s">
        <v>4641</v>
      </c>
      <c r="L46" s="14" t="s">
        <v>4641</v>
      </c>
      <c r="M46" s="14" t="s">
        <v>4634</v>
      </c>
      <c r="N46" s="205" t="s">
        <v>167</v>
      </c>
    </row>
    <row r="47" ht="37.5" customHeight="1">
      <c r="A47" s="114" t="s">
        <v>4737</v>
      </c>
      <c r="B47" s="129"/>
      <c r="C47" s="204" t="s">
        <v>1153</v>
      </c>
      <c r="D47" s="14">
        <v>5.0</v>
      </c>
      <c r="E47" s="14">
        <v>30.0</v>
      </c>
      <c r="F47" s="114" t="s">
        <v>4631</v>
      </c>
      <c r="G47" s="114" t="s">
        <v>4687</v>
      </c>
      <c r="H47" s="114" t="s">
        <v>4738</v>
      </c>
      <c r="I47" s="14" t="s">
        <v>4641</v>
      </c>
      <c r="J47" s="14" t="s">
        <v>4645</v>
      </c>
      <c r="K47" s="14" t="s">
        <v>4641</v>
      </c>
      <c r="L47" s="14" t="s">
        <v>4641</v>
      </c>
      <c r="M47" s="14" t="s">
        <v>4641</v>
      </c>
      <c r="N47" s="205" t="s">
        <v>167</v>
      </c>
      <c r="O47" s="14"/>
      <c r="P47" s="14"/>
    </row>
    <row r="48" ht="37.5" customHeight="1">
      <c r="A48" s="114" t="s">
        <v>4739</v>
      </c>
      <c r="B48" s="129"/>
      <c r="C48" s="204" t="s">
        <v>893</v>
      </c>
      <c r="D48" s="14">
        <v>20.0</v>
      </c>
      <c r="E48" s="14">
        <v>55.0</v>
      </c>
      <c r="F48" s="130" t="s">
        <v>4638</v>
      </c>
      <c r="G48" s="114" t="s">
        <v>4632</v>
      </c>
      <c r="H48" s="114" t="s">
        <v>4740</v>
      </c>
      <c r="I48" s="14" t="s">
        <v>4645</v>
      </c>
      <c r="J48" s="14" t="s">
        <v>4641</v>
      </c>
      <c r="K48" s="14" t="s">
        <v>4645</v>
      </c>
      <c r="L48" s="14" t="s">
        <v>4641</v>
      </c>
      <c r="M48" s="14" t="s">
        <v>4641</v>
      </c>
      <c r="N48" s="205" t="s">
        <v>167</v>
      </c>
    </row>
    <row r="49" ht="37.5" customHeight="1">
      <c r="A49" s="114" t="s">
        <v>4741</v>
      </c>
      <c r="B49" s="129"/>
      <c r="C49" s="204" t="s">
        <v>1093</v>
      </c>
      <c r="D49" s="14">
        <v>6.0</v>
      </c>
      <c r="E49" s="14">
        <v>34.0</v>
      </c>
      <c r="F49" s="130" t="s">
        <v>4638</v>
      </c>
      <c r="G49" s="114" t="s">
        <v>4632</v>
      </c>
      <c r="H49" s="114" t="s">
        <v>4742</v>
      </c>
      <c r="I49" s="14" t="s">
        <v>4641</v>
      </c>
      <c r="J49" s="14" t="s">
        <v>4641</v>
      </c>
      <c r="K49" s="14" t="s">
        <v>4641</v>
      </c>
      <c r="L49" s="14" t="s">
        <v>4641</v>
      </c>
      <c r="M49" s="14" t="s">
        <v>4641</v>
      </c>
      <c r="N49" s="205" t="s">
        <v>423</v>
      </c>
    </row>
    <row r="50" ht="37.5" customHeight="1">
      <c r="A50" s="114" t="s">
        <v>4743</v>
      </c>
      <c r="B50" s="130"/>
      <c r="C50" s="206" t="s">
        <v>712</v>
      </c>
      <c r="D50" s="128">
        <v>26.0</v>
      </c>
      <c r="E50" s="128">
        <v>32.0</v>
      </c>
      <c r="F50" s="130" t="s">
        <v>4656</v>
      </c>
      <c r="G50" s="114" t="s">
        <v>4687</v>
      </c>
      <c r="H50" s="130" t="s">
        <v>4744</v>
      </c>
      <c r="I50" s="14" t="s">
        <v>4641</v>
      </c>
      <c r="J50" s="14" t="s">
        <v>4641</v>
      </c>
      <c r="K50" s="14" t="s">
        <v>4641</v>
      </c>
      <c r="L50" s="14" t="s">
        <v>4641</v>
      </c>
      <c r="M50" s="14" t="s">
        <v>4641</v>
      </c>
      <c r="N50" s="205" t="s">
        <v>423</v>
      </c>
      <c r="O50" s="14"/>
      <c r="P50" s="14"/>
    </row>
    <row r="51" ht="37.5" customHeight="1">
      <c r="A51" s="114" t="s">
        <v>4745</v>
      </c>
      <c r="B51" s="129"/>
      <c r="C51" s="204" t="s">
        <v>1480</v>
      </c>
      <c r="D51" s="14">
        <v>1.0</v>
      </c>
      <c r="E51" s="14">
        <v>60.0</v>
      </c>
      <c r="F51" s="130" t="s">
        <v>4638</v>
      </c>
      <c r="G51" s="114" t="s">
        <v>4639</v>
      </c>
      <c r="H51" s="114" t="s">
        <v>4746</v>
      </c>
      <c r="I51" s="14" t="s">
        <v>4641</v>
      </c>
      <c r="J51" s="14" t="s">
        <v>4641</v>
      </c>
      <c r="K51" s="14" t="s">
        <v>4641</v>
      </c>
      <c r="L51" s="14" t="s">
        <v>4641</v>
      </c>
      <c r="M51" s="14" t="s">
        <v>4641</v>
      </c>
      <c r="N51" s="205" t="s">
        <v>423</v>
      </c>
      <c r="O51" s="14"/>
      <c r="P51" s="14"/>
    </row>
    <row r="52" ht="37.5" customHeight="1">
      <c r="A52" s="114" t="s">
        <v>4747</v>
      </c>
      <c r="B52" s="129"/>
      <c r="C52" s="204" t="s">
        <v>1102</v>
      </c>
      <c r="D52" s="14">
        <v>16.0</v>
      </c>
      <c r="E52" s="14">
        <v>58.0</v>
      </c>
      <c r="F52" s="114" t="s">
        <v>4656</v>
      </c>
      <c r="G52" s="114" t="s">
        <v>4639</v>
      </c>
      <c r="H52" s="114" t="s">
        <v>4748</v>
      </c>
      <c r="I52" s="14" t="s">
        <v>4645</v>
      </c>
      <c r="J52" s="14" t="s">
        <v>4641</v>
      </c>
      <c r="K52" s="14" t="s">
        <v>4641</v>
      </c>
      <c r="L52" s="14" t="s">
        <v>4641</v>
      </c>
      <c r="M52" s="14" t="s">
        <v>4641</v>
      </c>
      <c r="N52" s="205" t="s">
        <v>423</v>
      </c>
    </row>
    <row r="53" ht="37.5" customHeight="1">
      <c r="A53" s="114" t="s">
        <v>4749</v>
      </c>
      <c r="B53" s="129"/>
      <c r="C53" s="204" t="s">
        <v>1484</v>
      </c>
      <c r="D53" s="14">
        <v>8.0</v>
      </c>
      <c r="E53" s="14">
        <v>36.0</v>
      </c>
      <c r="F53" s="114" t="s">
        <v>4631</v>
      </c>
      <c r="G53" s="114" t="s">
        <v>4687</v>
      </c>
      <c r="H53" s="114" t="s">
        <v>4750</v>
      </c>
      <c r="I53" s="14" t="s">
        <v>4641</v>
      </c>
      <c r="J53" s="14" t="s">
        <v>4645</v>
      </c>
      <c r="K53" s="14" t="s">
        <v>4641</v>
      </c>
      <c r="L53" s="14" t="s">
        <v>4641</v>
      </c>
      <c r="M53" s="14" t="s">
        <v>4641</v>
      </c>
      <c r="N53" s="205" t="s">
        <v>423</v>
      </c>
      <c r="O53" s="14"/>
      <c r="P53" s="14"/>
    </row>
    <row r="54" ht="37.5" customHeight="1">
      <c r="A54" s="114" t="s">
        <v>4751</v>
      </c>
      <c r="B54" s="129"/>
      <c r="C54" s="204" t="s">
        <v>4752</v>
      </c>
      <c r="D54" s="14">
        <v>18.0</v>
      </c>
      <c r="E54" s="14">
        <v>55.0</v>
      </c>
      <c r="F54" s="130" t="s">
        <v>4638</v>
      </c>
      <c r="G54" s="114" t="s">
        <v>4639</v>
      </c>
      <c r="H54" s="114" t="s">
        <v>4753</v>
      </c>
      <c r="I54" s="14" t="s">
        <v>4641</v>
      </c>
      <c r="J54" s="14" t="s">
        <v>4641</v>
      </c>
      <c r="K54" s="14" t="s">
        <v>4641</v>
      </c>
      <c r="L54" s="14" t="s">
        <v>4641</v>
      </c>
      <c r="M54" s="14" t="s">
        <v>4641</v>
      </c>
      <c r="N54" s="205" t="s">
        <v>423</v>
      </c>
      <c r="O54" s="14"/>
      <c r="P54" s="14"/>
    </row>
    <row r="55" ht="37.5" customHeight="1">
      <c r="A55" s="114" t="s">
        <v>4754</v>
      </c>
      <c r="B55" s="129"/>
      <c r="C55" s="204" t="s">
        <v>1109</v>
      </c>
      <c r="D55" s="14">
        <v>23.0</v>
      </c>
      <c r="E55" s="14">
        <v>50.0</v>
      </c>
      <c r="F55" s="114" t="s">
        <v>4631</v>
      </c>
      <c r="G55" s="130" t="s">
        <v>4687</v>
      </c>
      <c r="H55" s="114" t="s">
        <v>4755</v>
      </c>
      <c r="I55" s="14" t="s">
        <v>4641</v>
      </c>
      <c r="J55" s="14" t="s">
        <v>4641</v>
      </c>
      <c r="K55" s="14" t="s">
        <v>4641</v>
      </c>
      <c r="L55" s="14" t="s">
        <v>4641</v>
      </c>
      <c r="M55" s="14" t="s">
        <v>4641</v>
      </c>
      <c r="N55" s="205" t="s">
        <v>423</v>
      </c>
      <c r="O55" s="14"/>
      <c r="P55" s="14"/>
    </row>
    <row r="56" ht="37.5" customHeight="1">
      <c r="A56" s="114" t="s">
        <v>4756</v>
      </c>
      <c r="B56" s="129"/>
      <c r="C56" s="204" t="s">
        <v>4757</v>
      </c>
      <c r="D56" s="14">
        <v>12.0</v>
      </c>
      <c r="E56" s="14">
        <v>70.0</v>
      </c>
      <c r="F56" s="130" t="s">
        <v>4638</v>
      </c>
      <c r="G56" s="114" t="s">
        <v>6</v>
      </c>
      <c r="H56" s="114" t="s">
        <v>4758</v>
      </c>
      <c r="I56" s="14" t="s">
        <v>4641</v>
      </c>
      <c r="J56" s="14" t="s">
        <v>4641</v>
      </c>
      <c r="K56" s="14" t="s">
        <v>4641</v>
      </c>
      <c r="L56" s="14" t="s">
        <v>4641</v>
      </c>
      <c r="M56" s="14" t="s">
        <v>4641</v>
      </c>
      <c r="N56" s="205" t="s">
        <v>423</v>
      </c>
    </row>
    <row r="57" ht="37.5" customHeight="1">
      <c r="A57" s="114" t="s">
        <v>4759</v>
      </c>
      <c r="B57" s="129"/>
      <c r="C57" s="204" t="s">
        <v>4760</v>
      </c>
      <c r="D57" s="14">
        <v>22.0</v>
      </c>
      <c r="E57" s="14">
        <v>70.0</v>
      </c>
      <c r="F57" s="130" t="s">
        <v>4638</v>
      </c>
      <c r="G57" s="114" t="s">
        <v>4687</v>
      </c>
      <c r="H57" s="114" t="s">
        <v>4761</v>
      </c>
      <c r="I57" s="14" t="s">
        <v>4641</v>
      </c>
      <c r="J57" s="14" t="s">
        <v>4641</v>
      </c>
      <c r="K57" s="14" t="s">
        <v>4641</v>
      </c>
      <c r="L57" s="14" t="s">
        <v>4641</v>
      </c>
      <c r="M57" s="14" t="s">
        <v>4641</v>
      </c>
      <c r="N57" s="205" t="s">
        <v>423</v>
      </c>
    </row>
    <row r="58" ht="37.5" customHeight="1">
      <c r="A58" s="114" t="s">
        <v>4762</v>
      </c>
      <c r="B58" s="129"/>
      <c r="C58" s="204" t="s">
        <v>1456</v>
      </c>
      <c r="D58" s="14">
        <v>12.0</v>
      </c>
      <c r="E58" s="14">
        <v>20.0</v>
      </c>
      <c r="F58" s="114" t="s">
        <v>4631</v>
      </c>
      <c r="G58" s="114" t="s">
        <v>4639</v>
      </c>
      <c r="H58" s="114" t="s">
        <v>4763</v>
      </c>
      <c r="I58" s="14" t="s">
        <v>4641</v>
      </c>
      <c r="J58" s="14" t="s">
        <v>4641</v>
      </c>
      <c r="K58" s="14" t="s">
        <v>4641</v>
      </c>
      <c r="L58" s="14" t="s">
        <v>4641</v>
      </c>
      <c r="M58" s="14" t="s">
        <v>4641</v>
      </c>
      <c r="N58" s="205" t="s">
        <v>423</v>
      </c>
      <c r="O58" s="14"/>
      <c r="P58" s="14"/>
    </row>
    <row r="59" ht="37.5" customHeight="1">
      <c r="A59" s="114" t="s">
        <v>4764</v>
      </c>
      <c r="B59" s="129"/>
      <c r="C59" s="204" t="s">
        <v>1475</v>
      </c>
      <c r="D59" s="14">
        <v>20.0</v>
      </c>
      <c r="E59" s="14">
        <v>50.0</v>
      </c>
      <c r="F59" s="114" t="s">
        <v>4656</v>
      </c>
      <c r="G59" s="114" t="s">
        <v>4687</v>
      </c>
      <c r="H59" s="114" t="s">
        <v>4765</v>
      </c>
      <c r="I59" s="14" t="s">
        <v>4645</v>
      </c>
      <c r="J59" s="14" t="s">
        <v>4641</v>
      </c>
      <c r="K59" s="14" t="s">
        <v>4641</v>
      </c>
      <c r="L59" s="14" t="s">
        <v>4641</v>
      </c>
      <c r="M59" s="14" t="s">
        <v>4641</v>
      </c>
      <c r="N59" s="205" t="s">
        <v>423</v>
      </c>
    </row>
    <row r="60" ht="37.5" customHeight="1">
      <c r="A60" s="114" t="s">
        <v>4766</v>
      </c>
      <c r="B60" s="129"/>
      <c r="C60" s="204" t="s">
        <v>4767</v>
      </c>
      <c r="D60" s="14">
        <v>15.0</v>
      </c>
      <c r="E60" s="14">
        <v>56.0</v>
      </c>
      <c r="F60" s="130" t="s">
        <v>4638</v>
      </c>
      <c r="G60" s="114" t="s">
        <v>4639</v>
      </c>
      <c r="H60" s="114" t="s">
        <v>4768</v>
      </c>
      <c r="I60" s="14" t="s">
        <v>4641</v>
      </c>
      <c r="J60" s="14" t="s">
        <v>4641</v>
      </c>
      <c r="K60" s="14" t="s">
        <v>4641</v>
      </c>
      <c r="L60" s="14" t="s">
        <v>4641</v>
      </c>
      <c r="M60" s="14" t="s">
        <v>4641</v>
      </c>
      <c r="N60" s="205" t="s">
        <v>423</v>
      </c>
      <c r="O60" s="14"/>
      <c r="P60" s="14"/>
    </row>
    <row r="61" ht="37.5" customHeight="1">
      <c r="A61" s="114" t="s">
        <v>4769</v>
      </c>
      <c r="B61" s="129"/>
      <c r="C61" s="206" t="s">
        <v>4770</v>
      </c>
      <c r="D61" s="128">
        <v>27.0</v>
      </c>
      <c r="E61" s="128">
        <v>57.0</v>
      </c>
      <c r="F61" s="114" t="s">
        <v>4656</v>
      </c>
      <c r="G61" s="130" t="s">
        <v>4639</v>
      </c>
      <c r="H61" s="130" t="s">
        <v>4771</v>
      </c>
      <c r="I61" s="14" t="s">
        <v>4645</v>
      </c>
      <c r="J61" s="14" t="s">
        <v>4641</v>
      </c>
      <c r="K61" s="14" t="s">
        <v>4641</v>
      </c>
      <c r="L61" s="14" t="s">
        <v>4641</v>
      </c>
      <c r="M61" s="14" t="s">
        <v>4641</v>
      </c>
      <c r="N61" s="205" t="s">
        <v>423</v>
      </c>
      <c r="O61" s="14"/>
      <c r="P61" s="14"/>
    </row>
    <row r="62" ht="37.5" customHeight="1">
      <c r="A62" s="114" t="s">
        <v>4772</v>
      </c>
      <c r="B62" s="129"/>
      <c r="C62" s="204" t="s">
        <v>1486</v>
      </c>
      <c r="D62" s="14">
        <v>17.0</v>
      </c>
      <c r="E62" s="14">
        <v>0.0</v>
      </c>
      <c r="F62" s="114" t="s">
        <v>4631</v>
      </c>
      <c r="G62" s="114" t="s">
        <v>4773</v>
      </c>
      <c r="H62" s="114" t="s">
        <v>4774</v>
      </c>
      <c r="I62" s="14" t="s">
        <v>4641</v>
      </c>
      <c r="J62" s="14" t="s">
        <v>4641</v>
      </c>
      <c r="K62" s="14" t="s">
        <v>4641</v>
      </c>
      <c r="L62" s="14" t="s">
        <v>4641</v>
      </c>
      <c r="M62" s="14" t="s">
        <v>4641</v>
      </c>
      <c r="N62" s="205" t="s">
        <v>423</v>
      </c>
    </row>
    <row r="63" ht="37.5" customHeight="1">
      <c r="A63" s="114"/>
      <c r="B63" s="130"/>
      <c r="C63" s="206" t="s">
        <v>4775</v>
      </c>
      <c r="D63" s="128">
        <v>28.0</v>
      </c>
      <c r="E63" s="128">
        <v>45.0</v>
      </c>
      <c r="F63" s="114" t="s">
        <v>4638</v>
      </c>
      <c r="G63" s="130" t="s">
        <v>4639</v>
      </c>
      <c r="H63" s="130" t="s">
        <v>4776</v>
      </c>
      <c r="I63" s="14" t="s">
        <v>4641</v>
      </c>
      <c r="J63" s="14" t="s">
        <v>4641</v>
      </c>
      <c r="K63" s="14" t="s">
        <v>4641</v>
      </c>
      <c r="L63" s="14" t="s">
        <v>4641</v>
      </c>
      <c r="M63" s="14" t="s">
        <v>4641</v>
      </c>
      <c r="N63" s="205" t="s">
        <v>423</v>
      </c>
      <c r="O63" s="14"/>
      <c r="P63" s="128"/>
    </row>
    <row r="64" ht="37.5" customHeight="1">
      <c r="A64" s="114" t="s">
        <v>4777</v>
      </c>
      <c r="B64" s="129"/>
      <c r="C64" s="204" t="s">
        <v>1121</v>
      </c>
      <c r="D64" s="14">
        <v>5.0</v>
      </c>
      <c r="E64" s="14">
        <v>56.0</v>
      </c>
      <c r="F64" s="114" t="s">
        <v>4656</v>
      </c>
      <c r="G64" s="114" t="s">
        <v>4639</v>
      </c>
      <c r="H64" s="114" t="s">
        <v>4778</v>
      </c>
      <c r="I64" s="14" t="s">
        <v>4645</v>
      </c>
      <c r="J64" s="14" t="s">
        <v>4641</v>
      </c>
      <c r="K64" s="14" t="s">
        <v>4641</v>
      </c>
      <c r="L64" s="14" t="s">
        <v>4641</v>
      </c>
      <c r="M64" s="14" t="s">
        <v>4641</v>
      </c>
      <c r="N64" s="205" t="s">
        <v>423</v>
      </c>
      <c r="O64" s="14"/>
      <c r="P64" s="14"/>
    </row>
    <row r="65" ht="37.5" customHeight="1">
      <c r="A65" s="114" t="s">
        <v>4779</v>
      </c>
      <c r="B65" s="129"/>
      <c r="C65" s="204" t="s">
        <v>756</v>
      </c>
      <c r="D65" s="14">
        <v>8.0</v>
      </c>
      <c r="E65" s="14">
        <v>0.0</v>
      </c>
      <c r="F65" s="114" t="s">
        <v>4631</v>
      </c>
      <c r="G65" s="114" t="s">
        <v>6</v>
      </c>
      <c r="H65" s="114" t="s">
        <v>4780</v>
      </c>
      <c r="I65" s="14" t="s">
        <v>4641</v>
      </c>
      <c r="J65" s="14" t="s">
        <v>4645</v>
      </c>
      <c r="K65" s="14" t="s">
        <v>4641</v>
      </c>
      <c r="L65" s="14" t="s">
        <v>4641</v>
      </c>
      <c r="M65" s="14" t="s">
        <v>4641</v>
      </c>
      <c r="N65" s="205" t="s">
        <v>423</v>
      </c>
      <c r="O65" s="14"/>
      <c r="P65" s="14"/>
    </row>
    <row r="66" ht="37.5" customHeight="1">
      <c r="A66" s="114" t="s">
        <v>4781</v>
      </c>
      <c r="B66" s="129"/>
      <c r="C66" s="204" t="s">
        <v>1127</v>
      </c>
      <c r="D66" s="14">
        <v>4.0</v>
      </c>
      <c r="E66" s="14">
        <v>57.0</v>
      </c>
      <c r="F66" s="114" t="s">
        <v>4656</v>
      </c>
      <c r="G66" s="130" t="s">
        <v>4687</v>
      </c>
      <c r="H66" s="114" t="s">
        <v>4782</v>
      </c>
      <c r="I66" s="14" t="s">
        <v>4641</v>
      </c>
      <c r="J66" s="14" t="s">
        <v>4641</v>
      </c>
      <c r="K66" s="14" t="s">
        <v>4645</v>
      </c>
      <c r="L66" s="14" t="s">
        <v>4641</v>
      </c>
      <c r="M66" s="14" t="s">
        <v>4641</v>
      </c>
      <c r="N66" s="205" t="s">
        <v>423</v>
      </c>
      <c r="O66" s="14"/>
      <c r="P66" s="14"/>
    </row>
    <row r="67" ht="37.5" customHeight="1">
      <c r="A67" s="114" t="s">
        <v>4783</v>
      </c>
      <c r="B67" s="129"/>
      <c r="C67" s="204" t="s">
        <v>1129</v>
      </c>
      <c r="D67" s="14">
        <v>1.0</v>
      </c>
      <c r="E67" s="14">
        <v>55.0</v>
      </c>
      <c r="F67" s="130" t="s">
        <v>4638</v>
      </c>
      <c r="G67" s="130" t="s">
        <v>6</v>
      </c>
      <c r="H67" s="114" t="s">
        <v>4784</v>
      </c>
      <c r="I67" s="14" t="s">
        <v>4641</v>
      </c>
      <c r="J67" s="14" t="s">
        <v>4645</v>
      </c>
      <c r="K67" s="14" t="s">
        <v>4641</v>
      </c>
      <c r="L67" s="14" t="s">
        <v>4641</v>
      </c>
      <c r="M67" s="14" t="s">
        <v>4641</v>
      </c>
      <c r="N67" s="205" t="s">
        <v>423</v>
      </c>
    </row>
    <row r="68" ht="37.5" customHeight="1">
      <c r="A68" s="114" t="s">
        <v>4785</v>
      </c>
      <c r="B68" s="129"/>
      <c r="C68" s="204" t="s">
        <v>1443</v>
      </c>
      <c r="D68" s="14">
        <v>24.0</v>
      </c>
      <c r="E68" s="14">
        <v>47.0</v>
      </c>
      <c r="F68" s="114" t="s">
        <v>4631</v>
      </c>
      <c r="G68" s="114" t="s">
        <v>6</v>
      </c>
      <c r="H68" s="114" t="s">
        <v>4786</v>
      </c>
      <c r="I68" s="14" t="s">
        <v>4641</v>
      </c>
      <c r="J68" s="14" t="s">
        <v>4641</v>
      </c>
      <c r="K68" s="14" t="s">
        <v>4641</v>
      </c>
      <c r="L68" s="14" t="s">
        <v>4641</v>
      </c>
      <c r="M68" s="14" t="s">
        <v>4641</v>
      </c>
      <c r="N68" s="205" t="s">
        <v>423</v>
      </c>
      <c r="O68" s="14"/>
      <c r="P68" s="14"/>
    </row>
    <row r="69" ht="37.5" customHeight="1">
      <c r="A69" s="114" t="s">
        <v>4787</v>
      </c>
      <c r="B69" s="129"/>
      <c r="C69" s="204" t="s">
        <v>1447</v>
      </c>
      <c r="D69" s="14">
        <v>8.0</v>
      </c>
      <c r="E69" s="14">
        <v>52.0</v>
      </c>
      <c r="F69" s="114" t="s">
        <v>4656</v>
      </c>
      <c r="G69" s="114" t="s">
        <v>4639</v>
      </c>
      <c r="H69" s="114" t="s">
        <v>4788</v>
      </c>
      <c r="I69" s="14" t="s">
        <v>4641</v>
      </c>
      <c r="J69" s="14" t="s">
        <v>4641</v>
      </c>
      <c r="K69" s="14" t="s">
        <v>4641</v>
      </c>
      <c r="L69" s="14" t="s">
        <v>4641</v>
      </c>
      <c r="M69" s="14" t="s">
        <v>4641</v>
      </c>
      <c r="N69" s="205" t="s">
        <v>423</v>
      </c>
      <c r="O69" s="14"/>
      <c r="P69" s="14"/>
    </row>
    <row r="70" ht="37.5" customHeight="1">
      <c r="A70" s="114" t="s">
        <v>4789</v>
      </c>
      <c r="B70" s="129"/>
      <c r="C70" s="204" t="s">
        <v>1131</v>
      </c>
      <c r="D70" s="14">
        <v>22.0</v>
      </c>
      <c r="E70" s="14">
        <v>53.0</v>
      </c>
      <c r="F70" s="114" t="s">
        <v>4656</v>
      </c>
      <c r="G70" s="130" t="s">
        <v>4639</v>
      </c>
      <c r="H70" s="114" t="s">
        <v>4790</v>
      </c>
      <c r="I70" s="14" t="s">
        <v>4645</v>
      </c>
      <c r="J70" s="14" t="s">
        <v>4641</v>
      </c>
      <c r="K70" s="14" t="s">
        <v>4641</v>
      </c>
      <c r="L70" s="14" t="s">
        <v>4641</v>
      </c>
      <c r="M70" s="14" t="s">
        <v>4641</v>
      </c>
      <c r="N70" s="205" t="s">
        <v>423</v>
      </c>
      <c r="O70" s="14"/>
      <c r="P70" s="14"/>
    </row>
    <row r="71" ht="37.5" customHeight="1">
      <c r="A71" s="114"/>
      <c r="B71" s="129"/>
      <c r="C71" s="206" t="s">
        <v>558</v>
      </c>
      <c r="D71" s="128">
        <v>27.0</v>
      </c>
      <c r="E71" s="128">
        <v>24.0</v>
      </c>
      <c r="F71" s="114" t="s">
        <v>4638</v>
      </c>
      <c r="G71" s="130" t="s">
        <v>4687</v>
      </c>
      <c r="H71" s="130" t="s">
        <v>4791</v>
      </c>
      <c r="I71" s="14" t="s">
        <v>4641</v>
      </c>
      <c r="J71" s="14" t="s">
        <v>4641</v>
      </c>
      <c r="K71" s="14" t="s">
        <v>4641</v>
      </c>
      <c r="L71" s="14" t="s">
        <v>4641</v>
      </c>
      <c r="M71" s="14" t="s">
        <v>4641</v>
      </c>
      <c r="N71" s="205" t="s">
        <v>423</v>
      </c>
      <c r="O71" s="14"/>
      <c r="P71" s="14"/>
    </row>
    <row r="72" ht="37.5" customHeight="1">
      <c r="A72" s="114" t="s">
        <v>4792</v>
      </c>
      <c r="B72" s="129"/>
      <c r="C72" s="204" t="s">
        <v>1463</v>
      </c>
      <c r="D72" s="14">
        <v>16.0</v>
      </c>
      <c r="E72" s="14">
        <v>30.0</v>
      </c>
      <c r="F72" s="114" t="s">
        <v>4656</v>
      </c>
      <c r="G72" s="114" t="s">
        <v>4639</v>
      </c>
      <c r="H72" s="114" t="s">
        <v>4793</v>
      </c>
      <c r="I72" s="14" t="s">
        <v>4645</v>
      </c>
      <c r="J72" s="14" t="s">
        <v>4641</v>
      </c>
      <c r="K72" s="14" t="s">
        <v>4641</v>
      </c>
      <c r="L72" s="14" t="s">
        <v>4641</v>
      </c>
      <c r="M72" s="14" t="s">
        <v>4641</v>
      </c>
      <c r="N72" s="205" t="s">
        <v>423</v>
      </c>
      <c r="O72" s="14"/>
      <c r="P72" s="14"/>
    </row>
    <row r="73" ht="37.5" customHeight="1">
      <c r="A73" s="114" t="s">
        <v>4794</v>
      </c>
      <c r="B73" s="129"/>
      <c r="C73" s="204" t="s">
        <v>1477</v>
      </c>
      <c r="D73" s="14">
        <v>3.0</v>
      </c>
      <c r="E73" s="14">
        <v>55.0</v>
      </c>
      <c r="F73" s="114" t="s">
        <v>4656</v>
      </c>
      <c r="G73" s="114" t="s">
        <v>4639</v>
      </c>
      <c r="H73" s="114" t="s">
        <v>4795</v>
      </c>
      <c r="I73" s="14" t="s">
        <v>4641</v>
      </c>
      <c r="J73" s="14" t="s">
        <v>4641</v>
      </c>
      <c r="K73" s="14" t="s">
        <v>4641</v>
      </c>
      <c r="L73" s="14" t="s">
        <v>4641</v>
      </c>
      <c r="M73" s="14" t="s">
        <v>4641</v>
      </c>
      <c r="N73" s="205" t="s">
        <v>423</v>
      </c>
    </row>
    <row r="74" ht="37.5" customHeight="1">
      <c r="A74" s="114" t="s">
        <v>4796</v>
      </c>
      <c r="B74" s="129"/>
      <c r="C74" s="204" t="s">
        <v>1487</v>
      </c>
      <c r="D74" s="14">
        <v>2.0</v>
      </c>
      <c r="E74" s="14">
        <v>100.0</v>
      </c>
      <c r="F74" s="130" t="s">
        <v>4638</v>
      </c>
      <c r="G74" s="114" t="s">
        <v>4639</v>
      </c>
      <c r="H74" s="114" t="s">
        <v>4797</v>
      </c>
      <c r="I74" s="14" t="s">
        <v>4645</v>
      </c>
      <c r="J74" s="14" t="s">
        <v>4641</v>
      </c>
      <c r="K74" s="14" t="s">
        <v>4641</v>
      </c>
      <c r="L74" s="14" t="s">
        <v>4641</v>
      </c>
      <c r="M74" s="14" t="s">
        <v>4641</v>
      </c>
      <c r="N74" s="205" t="s">
        <v>423</v>
      </c>
      <c r="O74" s="14"/>
      <c r="P74" s="14"/>
    </row>
    <row r="75" ht="37.5" customHeight="1">
      <c r="A75" s="114" t="s">
        <v>4798</v>
      </c>
      <c r="B75" s="129"/>
      <c r="C75" s="204" t="s">
        <v>1450</v>
      </c>
      <c r="D75" s="14">
        <v>18.0</v>
      </c>
      <c r="E75" s="14">
        <v>59.0</v>
      </c>
      <c r="F75" s="114" t="s">
        <v>4656</v>
      </c>
      <c r="G75" s="114" t="s">
        <v>4639</v>
      </c>
      <c r="H75" s="114" t="s">
        <v>4799</v>
      </c>
      <c r="I75" s="14" t="s">
        <v>4641</v>
      </c>
      <c r="J75" s="14" t="s">
        <v>4641</v>
      </c>
      <c r="K75" s="14" t="s">
        <v>4641</v>
      </c>
      <c r="L75" s="14" t="s">
        <v>4641</v>
      </c>
      <c r="M75" s="14" t="s">
        <v>4641</v>
      </c>
      <c r="N75" s="205" t="s">
        <v>423</v>
      </c>
      <c r="O75" s="14"/>
      <c r="P75" s="14"/>
    </row>
    <row r="76" ht="37.5" customHeight="1">
      <c r="A76" s="114" t="s">
        <v>4800</v>
      </c>
      <c r="B76" s="129"/>
      <c r="C76" s="204" t="s">
        <v>1488</v>
      </c>
      <c r="D76" s="14">
        <v>1.0</v>
      </c>
      <c r="E76" s="14">
        <v>80.0</v>
      </c>
      <c r="F76" s="114" t="s">
        <v>4656</v>
      </c>
      <c r="G76" s="114" t="s">
        <v>4639</v>
      </c>
      <c r="H76" s="114" t="s">
        <v>4801</v>
      </c>
      <c r="I76" s="14" t="s">
        <v>4641</v>
      </c>
      <c r="J76" s="14" t="s">
        <v>4641</v>
      </c>
      <c r="K76" s="14" t="s">
        <v>4641</v>
      </c>
      <c r="L76" s="14" t="s">
        <v>4645</v>
      </c>
      <c r="M76" s="14" t="s">
        <v>4641</v>
      </c>
      <c r="N76" s="205" t="s">
        <v>423</v>
      </c>
      <c r="O76" s="14"/>
      <c r="P76" s="14"/>
    </row>
    <row r="77" ht="37.5" customHeight="1">
      <c r="A77" s="114" t="s">
        <v>4802</v>
      </c>
      <c r="B77" s="129"/>
      <c r="C77" s="204" t="s">
        <v>1136</v>
      </c>
      <c r="D77" s="14">
        <v>24.0</v>
      </c>
      <c r="E77" s="14">
        <v>58.0</v>
      </c>
      <c r="F77" s="114" t="s">
        <v>4656</v>
      </c>
      <c r="G77" s="114" t="s">
        <v>4639</v>
      </c>
      <c r="H77" s="114" t="s">
        <v>4803</v>
      </c>
      <c r="I77" s="14" t="s">
        <v>4641</v>
      </c>
      <c r="J77" s="14" t="s">
        <v>4641</v>
      </c>
      <c r="K77" s="14" t="s">
        <v>4641</v>
      </c>
      <c r="L77" s="14" t="s">
        <v>4641</v>
      </c>
      <c r="M77" s="14" t="s">
        <v>4641</v>
      </c>
      <c r="N77" s="205" t="s">
        <v>423</v>
      </c>
      <c r="O77" s="14"/>
      <c r="P77" s="14"/>
    </row>
    <row r="78" ht="37.5" customHeight="1">
      <c r="A78" s="114" t="s">
        <v>4804</v>
      </c>
      <c r="B78" s="129"/>
      <c r="C78" s="204" t="s">
        <v>1138</v>
      </c>
      <c r="D78" s="14">
        <v>19.0</v>
      </c>
      <c r="E78" s="14">
        <v>58.0</v>
      </c>
      <c r="F78" s="114" t="s">
        <v>4656</v>
      </c>
      <c r="G78" s="114" t="s">
        <v>4684</v>
      </c>
      <c r="H78" s="114" t="s">
        <v>4805</v>
      </c>
      <c r="I78" s="14" t="s">
        <v>4645</v>
      </c>
      <c r="J78" s="14" t="s">
        <v>4641</v>
      </c>
      <c r="K78" s="14" t="s">
        <v>4641</v>
      </c>
      <c r="L78" s="14" t="s">
        <v>4641</v>
      </c>
      <c r="M78" s="14" t="s">
        <v>4641</v>
      </c>
      <c r="N78" s="205" t="s">
        <v>423</v>
      </c>
      <c r="O78" s="14"/>
      <c r="P78" s="14"/>
    </row>
    <row r="79" ht="37.5" customHeight="1">
      <c r="A79" s="114" t="s">
        <v>4806</v>
      </c>
      <c r="B79" s="129"/>
      <c r="C79" s="204" t="s">
        <v>1459</v>
      </c>
      <c r="D79" s="14">
        <v>1.0</v>
      </c>
      <c r="E79" s="14">
        <v>50.0</v>
      </c>
      <c r="F79" s="114" t="s">
        <v>4656</v>
      </c>
      <c r="G79" s="114" t="s">
        <v>4639</v>
      </c>
      <c r="H79" s="114" t="s">
        <v>4807</v>
      </c>
      <c r="I79" s="14" t="s">
        <v>4641</v>
      </c>
      <c r="J79" s="14" t="s">
        <v>4641</v>
      </c>
      <c r="K79" s="14" t="s">
        <v>4641</v>
      </c>
      <c r="L79" s="14" t="s">
        <v>4645</v>
      </c>
      <c r="M79" s="14" t="s">
        <v>4641</v>
      </c>
      <c r="N79" s="205" t="s">
        <v>423</v>
      </c>
      <c r="O79" s="14"/>
      <c r="P79" s="14"/>
    </row>
    <row r="80" ht="37.5" customHeight="1">
      <c r="A80" s="114"/>
      <c r="B80" s="129"/>
      <c r="C80" s="206" t="s">
        <v>4808</v>
      </c>
      <c r="D80" s="128">
        <v>28.0</v>
      </c>
      <c r="E80" s="128">
        <v>49.0</v>
      </c>
      <c r="F80" s="114" t="s">
        <v>4631</v>
      </c>
      <c r="G80" s="130" t="s">
        <v>4639</v>
      </c>
      <c r="H80" s="130" t="s">
        <v>4809</v>
      </c>
      <c r="I80" s="14" t="s">
        <v>4645</v>
      </c>
      <c r="J80" s="14" t="s">
        <v>4641</v>
      </c>
      <c r="K80" s="14" t="s">
        <v>4641</v>
      </c>
      <c r="L80" s="14" t="s">
        <v>4641</v>
      </c>
      <c r="M80" s="14" t="s">
        <v>4641</v>
      </c>
      <c r="N80" s="205" t="s">
        <v>423</v>
      </c>
      <c r="O80" s="14"/>
      <c r="P80" s="14"/>
    </row>
    <row r="81" ht="37.5" customHeight="1">
      <c r="A81" s="114" t="s">
        <v>4810</v>
      </c>
      <c r="B81" s="129"/>
      <c r="C81" s="206" t="s">
        <v>4811</v>
      </c>
      <c r="D81" s="128">
        <v>25.0</v>
      </c>
      <c r="E81" s="128">
        <v>70.0</v>
      </c>
      <c r="F81" s="130" t="s">
        <v>4638</v>
      </c>
      <c r="G81" s="114" t="s">
        <v>4687</v>
      </c>
      <c r="H81" s="130" t="s">
        <v>4812</v>
      </c>
      <c r="I81" s="14" t="s">
        <v>4641</v>
      </c>
      <c r="J81" s="14" t="s">
        <v>4645</v>
      </c>
      <c r="K81" s="14" t="s">
        <v>4641</v>
      </c>
      <c r="L81" s="14" t="s">
        <v>4641</v>
      </c>
      <c r="M81" s="14" t="s">
        <v>4641</v>
      </c>
      <c r="N81" s="205" t="s">
        <v>423</v>
      </c>
      <c r="O81" s="14"/>
      <c r="P81" s="14"/>
    </row>
    <row r="82" ht="37.5" customHeight="1">
      <c r="A82" s="114" t="s">
        <v>4813</v>
      </c>
      <c r="B82" s="129"/>
      <c r="C82" s="204" t="s">
        <v>4814</v>
      </c>
      <c r="D82" s="14">
        <v>3.0</v>
      </c>
      <c r="E82" s="14">
        <v>10.0</v>
      </c>
      <c r="F82" s="114" t="s">
        <v>4631</v>
      </c>
      <c r="G82" s="114" t="s">
        <v>6</v>
      </c>
      <c r="H82" s="114" t="s">
        <v>4815</v>
      </c>
      <c r="I82" s="14" t="s">
        <v>4641</v>
      </c>
      <c r="J82" s="14" t="s">
        <v>4641</v>
      </c>
      <c r="K82" s="14" t="s">
        <v>4641</v>
      </c>
      <c r="L82" s="14" t="s">
        <v>4641</v>
      </c>
      <c r="M82" s="14" t="s">
        <v>4641</v>
      </c>
      <c r="N82" s="205" t="s">
        <v>423</v>
      </c>
      <c r="O82" s="14"/>
      <c r="P82" s="14"/>
    </row>
    <row r="83" ht="37.5" customHeight="1">
      <c r="A83" s="114" t="s">
        <v>4816</v>
      </c>
      <c r="B83" s="129"/>
      <c r="C83" s="204" t="s">
        <v>1490</v>
      </c>
      <c r="D83" s="14">
        <v>7.0</v>
      </c>
      <c r="E83" s="14">
        <v>100.0</v>
      </c>
      <c r="F83" s="114" t="s">
        <v>4656</v>
      </c>
      <c r="G83" s="114" t="s">
        <v>6</v>
      </c>
      <c r="H83" s="114" t="s">
        <v>4817</v>
      </c>
      <c r="I83" s="14" t="s">
        <v>4641</v>
      </c>
      <c r="J83" s="14" t="s">
        <v>4641</v>
      </c>
      <c r="K83" s="14" t="s">
        <v>4641</v>
      </c>
      <c r="L83" s="14" t="s">
        <v>4641</v>
      </c>
      <c r="M83" s="14" t="s">
        <v>4641</v>
      </c>
      <c r="N83" s="205" t="s">
        <v>423</v>
      </c>
      <c r="O83" s="14"/>
      <c r="P83" s="14"/>
    </row>
    <row r="84" ht="37.5" customHeight="1">
      <c r="A84" s="114" t="s">
        <v>4818</v>
      </c>
      <c r="B84" s="129"/>
      <c r="C84" s="204" t="s">
        <v>1491</v>
      </c>
      <c r="D84" s="14">
        <v>3.0</v>
      </c>
      <c r="E84" s="14">
        <v>100.0</v>
      </c>
      <c r="F84" s="114" t="s">
        <v>4656</v>
      </c>
      <c r="G84" s="114" t="s">
        <v>4639</v>
      </c>
      <c r="H84" s="114" t="s">
        <v>4819</v>
      </c>
      <c r="I84" s="14" t="s">
        <v>4645</v>
      </c>
      <c r="J84" s="14" t="s">
        <v>4641</v>
      </c>
      <c r="K84" s="14" t="s">
        <v>4641</v>
      </c>
      <c r="L84" s="14" t="s">
        <v>4641</v>
      </c>
      <c r="M84" s="14" t="s">
        <v>4641</v>
      </c>
      <c r="N84" s="205" t="s">
        <v>423</v>
      </c>
      <c r="O84" s="14"/>
      <c r="P84" s="14"/>
    </row>
    <row r="85" ht="37.5" customHeight="1">
      <c r="A85" s="114" t="s">
        <v>4820</v>
      </c>
      <c r="B85" s="129"/>
      <c r="C85" s="204" t="s">
        <v>1434</v>
      </c>
      <c r="D85" s="14">
        <v>12.0</v>
      </c>
      <c r="E85" s="14">
        <v>100.0</v>
      </c>
      <c r="F85" s="114" t="s">
        <v>4631</v>
      </c>
      <c r="G85" s="114" t="s">
        <v>6</v>
      </c>
      <c r="H85" s="114" t="s">
        <v>4821</v>
      </c>
      <c r="I85" s="14" t="s">
        <v>4641</v>
      </c>
      <c r="J85" s="14" t="s">
        <v>4641</v>
      </c>
      <c r="K85" s="14" t="s">
        <v>4641</v>
      </c>
      <c r="L85" s="14" t="s">
        <v>4641</v>
      </c>
      <c r="M85" s="14" t="s">
        <v>4641</v>
      </c>
      <c r="N85" s="205" t="s">
        <v>423</v>
      </c>
      <c r="O85" s="14"/>
      <c r="P85" s="14"/>
    </row>
    <row r="86" ht="37.5" customHeight="1">
      <c r="A86" s="114" t="s">
        <v>4822</v>
      </c>
      <c r="B86" s="129"/>
      <c r="C86" s="204" t="s">
        <v>4823</v>
      </c>
      <c r="D86" s="14">
        <v>19.0</v>
      </c>
      <c r="E86" s="14">
        <v>57.0</v>
      </c>
      <c r="F86" s="114" t="s">
        <v>4656</v>
      </c>
      <c r="G86" s="114" t="s">
        <v>4684</v>
      </c>
      <c r="H86" s="114" t="s">
        <v>4824</v>
      </c>
      <c r="I86" s="14" t="s">
        <v>4641</v>
      </c>
      <c r="J86" s="14" t="s">
        <v>4641</v>
      </c>
      <c r="K86" s="14" t="s">
        <v>4641</v>
      </c>
      <c r="L86" s="14" t="s">
        <v>4641</v>
      </c>
      <c r="M86" s="14" t="s">
        <v>4641</v>
      </c>
      <c r="N86" s="205" t="s">
        <v>423</v>
      </c>
      <c r="O86" s="14"/>
      <c r="P86" s="14"/>
    </row>
    <row r="87" ht="37.5" customHeight="1">
      <c r="A87" s="114" t="s">
        <v>4825</v>
      </c>
      <c r="B87" s="129"/>
      <c r="C87" s="204" t="s">
        <v>758</v>
      </c>
      <c r="D87" s="14">
        <v>4.0</v>
      </c>
      <c r="E87" s="14">
        <v>90.0</v>
      </c>
      <c r="F87" s="114" t="s">
        <v>4631</v>
      </c>
      <c r="G87" s="114" t="s">
        <v>6</v>
      </c>
      <c r="H87" s="114" t="s">
        <v>4826</v>
      </c>
      <c r="I87" s="14" t="s">
        <v>4641</v>
      </c>
      <c r="J87" s="14" t="s">
        <v>4641</v>
      </c>
      <c r="K87" s="14" t="s">
        <v>4641</v>
      </c>
      <c r="L87" s="14" t="s">
        <v>4641</v>
      </c>
      <c r="M87" s="14" t="s">
        <v>4641</v>
      </c>
      <c r="N87" s="205" t="s">
        <v>423</v>
      </c>
      <c r="O87" s="14"/>
      <c r="P87" s="14"/>
    </row>
    <row r="88" ht="37.5" customHeight="1">
      <c r="A88" s="114" t="s">
        <v>4827</v>
      </c>
      <c r="B88" s="129"/>
      <c r="C88" s="204" t="s">
        <v>1151</v>
      </c>
      <c r="D88" s="14">
        <v>1.0</v>
      </c>
      <c r="E88" s="14">
        <v>0.0</v>
      </c>
      <c r="F88" s="114" t="s">
        <v>4631</v>
      </c>
      <c r="G88" s="114" t="s">
        <v>6</v>
      </c>
      <c r="H88" s="114" t="s">
        <v>4828</v>
      </c>
      <c r="I88" s="14" t="s">
        <v>4641</v>
      </c>
      <c r="J88" s="14" t="s">
        <v>4645</v>
      </c>
      <c r="K88" s="14" t="s">
        <v>4641</v>
      </c>
      <c r="L88" s="14" t="s">
        <v>4641</v>
      </c>
      <c r="M88" s="14" t="s">
        <v>4641</v>
      </c>
      <c r="N88" s="205" t="s">
        <v>423</v>
      </c>
      <c r="O88" s="14"/>
      <c r="P88" s="14"/>
    </row>
    <row r="89" ht="37.5" customHeight="1">
      <c r="A89" s="114" t="s">
        <v>4829</v>
      </c>
      <c r="B89" s="129"/>
      <c r="C89" s="206" t="s">
        <v>4830</v>
      </c>
      <c r="D89" s="128">
        <v>27.0</v>
      </c>
      <c r="E89" s="128">
        <v>51.0</v>
      </c>
      <c r="F89" s="114" t="s">
        <v>4656</v>
      </c>
      <c r="G89" s="114" t="s">
        <v>4639</v>
      </c>
      <c r="H89" s="130" t="s">
        <v>4831</v>
      </c>
      <c r="I89" s="14" t="s">
        <v>4641</v>
      </c>
      <c r="J89" s="14" t="s">
        <v>4641</v>
      </c>
      <c r="K89" s="14" t="s">
        <v>4641</v>
      </c>
      <c r="L89" s="14" t="s">
        <v>4641</v>
      </c>
      <c r="M89" s="14" t="s">
        <v>4641</v>
      </c>
      <c r="N89" s="205" t="s">
        <v>423</v>
      </c>
      <c r="O89" s="14"/>
      <c r="P89" s="14"/>
    </row>
    <row r="90" ht="37.5" customHeight="1">
      <c r="A90" s="114" t="s">
        <v>4832</v>
      </c>
      <c r="B90" s="129"/>
      <c r="C90" s="204" t="s">
        <v>1155</v>
      </c>
      <c r="D90" s="14">
        <v>13.0</v>
      </c>
      <c r="E90" s="14">
        <v>65.0</v>
      </c>
      <c r="F90" s="114" t="s">
        <v>4656</v>
      </c>
      <c r="G90" s="114" t="s">
        <v>4684</v>
      </c>
      <c r="H90" s="114" t="s">
        <v>4833</v>
      </c>
      <c r="I90" s="14" t="s">
        <v>4645</v>
      </c>
      <c r="J90" s="14" t="s">
        <v>4641</v>
      </c>
      <c r="K90" s="14" t="s">
        <v>4641</v>
      </c>
      <c r="L90" s="14" t="s">
        <v>4641</v>
      </c>
      <c r="M90" s="14" t="s">
        <v>4641</v>
      </c>
      <c r="N90" s="205" t="s">
        <v>423</v>
      </c>
      <c r="O90" s="14"/>
      <c r="P90" s="14"/>
    </row>
    <row r="91" ht="37.5" customHeight="1">
      <c r="A91" s="114" t="s">
        <v>4834</v>
      </c>
      <c r="B91" s="129"/>
      <c r="C91" s="204" t="s">
        <v>1493</v>
      </c>
      <c r="D91" s="14">
        <v>10.0</v>
      </c>
      <c r="E91" s="14">
        <v>56.0</v>
      </c>
      <c r="F91" s="114" t="s">
        <v>4656</v>
      </c>
      <c r="G91" s="114" t="s">
        <v>4639</v>
      </c>
      <c r="H91" s="114" t="s">
        <v>4835</v>
      </c>
      <c r="I91" s="14" t="s">
        <v>4645</v>
      </c>
      <c r="J91" s="14" t="s">
        <v>4641</v>
      </c>
      <c r="K91" s="14" t="s">
        <v>4641</v>
      </c>
      <c r="L91" s="14" t="s">
        <v>4641</v>
      </c>
      <c r="M91" s="14" t="s">
        <v>4641</v>
      </c>
      <c r="N91" s="205" t="s">
        <v>423</v>
      </c>
      <c r="O91" s="14"/>
      <c r="P91" s="14"/>
    </row>
    <row r="92" ht="37.5" customHeight="1">
      <c r="A92" s="114" t="s">
        <v>4836</v>
      </c>
      <c r="B92" s="129"/>
      <c r="C92" s="204" t="s">
        <v>1494</v>
      </c>
      <c r="D92" s="14">
        <v>18.0</v>
      </c>
      <c r="E92" s="14">
        <v>58.0</v>
      </c>
      <c r="F92" s="114" t="s">
        <v>4656</v>
      </c>
      <c r="G92" s="114" t="s">
        <v>6</v>
      </c>
      <c r="H92" s="114" t="s">
        <v>4837</v>
      </c>
      <c r="I92" s="14" t="s">
        <v>4641</v>
      </c>
      <c r="J92" s="14" t="s">
        <v>4641</v>
      </c>
      <c r="K92" s="14" t="s">
        <v>4641</v>
      </c>
      <c r="L92" s="14" t="s">
        <v>4641</v>
      </c>
      <c r="M92" s="14" t="s">
        <v>4641</v>
      </c>
      <c r="N92" s="205" t="s">
        <v>423</v>
      </c>
    </row>
    <row r="93" ht="37.5" customHeight="1">
      <c r="A93" s="114" t="s">
        <v>4838</v>
      </c>
      <c r="B93" s="129"/>
      <c r="C93" s="204" t="s">
        <v>1158</v>
      </c>
      <c r="D93" s="14">
        <v>20.0</v>
      </c>
      <c r="E93" s="14">
        <v>70.0</v>
      </c>
      <c r="F93" s="114" t="s">
        <v>4656</v>
      </c>
      <c r="G93" s="114" t="s">
        <v>4639</v>
      </c>
      <c r="H93" s="114" t="s">
        <v>4839</v>
      </c>
      <c r="I93" s="14" t="s">
        <v>4641</v>
      </c>
      <c r="J93" s="14" t="s">
        <v>4641</v>
      </c>
      <c r="K93" s="14" t="s">
        <v>4641</v>
      </c>
      <c r="L93" s="128" t="s">
        <v>4645</v>
      </c>
      <c r="M93" s="14" t="s">
        <v>4645</v>
      </c>
      <c r="N93" s="205" t="s">
        <v>423</v>
      </c>
      <c r="O93" s="14"/>
      <c r="P93" s="14"/>
    </row>
    <row r="94" ht="37.5" customHeight="1">
      <c r="A94" s="114" t="s">
        <v>4840</v>
      </c>
      <c r="B94" s="129"/>
      <c r="C94" s="204" t="s">
        <v>1498</v>
      </c>
      <c r="D94" s="14">
        <v>14.0</v>
      </c>
      <c r="E94" s="14">
        <v>40.0</v>
      </c>
      <c r="F94" s="114" t="s">
        <v>4656</v>
      </c>
      <c r="G94" s="114" t="s">
        <v>4639</v>
      </c>
      <c r="H94" s="114" t="s">
        <v>4841</v>
      </c>
      <c r="I94" s="14" t="s">
        <v>4645</v>
      </c>
      <c r="J94" s="14" t="s">
        <v>4641</v>
      </c>
      <c r="K94" s="14" t="s">
        <v>4641</v>
      </c>
      <c r="L94" s="14" t="s">
        <v>4641</v>
      </c>
      <c r="M94" s="14" t="s">
        <v>4641</v>
      </c>
      <c r="N94" s="205" t="s">
        <v>423</v>
      </c>
      <c r="O94" s="14"/>
      <c r="P94" s="14"/>
    </row>
    <row r="95" ht="37.5" customHeight="1">
      <c r="A95" s="114" t="s">
        <v>4842</v>
      </c>
      <c r="B95" s="129"/>
      <c r="C95" s="204" t="s">
        <v>1159</v>
      </c>
      <c r="D95" s="14">
        <v>3.0</v>
      </c>
      <c r="E95" s="14">
        <v>50.0</v>
      </c>
      <c r="F95" s="114" t="s">
        <v>4631</v>
      </c>
      <c r="G95" s="114" t="s">
        <v>6</v>
      </c>
      <c r="H95" s="114" t="s">
        <v>4843</v>
      </c>
      <c r="I95" s="14" t="s">
        <v>4641</v>
      </c>
      <c r="J95" s="14" t="s">
        <v>4645</v>
      </c>
      <c r="K95" s="14" t="s">
        <v>4641</v>
      </c>
      <c r="L95" s="14" t="s">
        <v>4641</v>
      </c>
      <c r="M95" s="14" t="s">
        <v>4641</v>
      </c>
      <c r="N95" s="205" t="s">
        <v>423</v>
      </c>
      <c r="O95" s="14"/>
      <c r="P95" s="14"/>
    </row>
    <row r="96" ht="37.5" customHeight="1">
      <c r="A96" s="114" t="s">
        <v>4844</v>
      </c>
      <c r="B96" s="129"/>
      <c r="C96" s="204" t="s">
        <v>4845</v>
      </c>
      <c r="D96" s="14">
        <v>21.0</v>
      </c>
      <c r="E96" s="14">
        <v>51.0</v>
      </c>
      <c r="F96" s="114" t="s">
        <v>4656</v>
      </c>
      <c r="G96" s="114" t="s">
        <v>4639</v>
      </c>
      <c r="H96" s="114" t="s">
        <v>4846</v>
      </c>
      <c r="I96" s="14" t="s">
        <v>4645</v>
      </c>
      <c r="J96" s="14" t="s">
        <v>4641</v>
      </c>
      <c r="K96" s="14" t="s">
        <v>4641</v>
      </c>
      <c r="L96" s="14" t="s">
        <v>4641</v>
      </c>
      <c r="M96" s="14" t="s">
        <v>4641</v>
      </c>
      <c r="N96" s="205" t="s">
        <v>423</v>
      </c>
      <c r="O96" s="14"/>
      <c r="P96" s="14"/>
    </row>
    <row r="97" ht="37.5" customHeight="1">
      <c r="A97" s="114" t="s">
        <v>4847</v>
      </c>
      <c r="B97" s="129"/>
      <c r="C97" s="204" t="s">
        <v>4848</v>
      </c>
      <c r="D97" s="14">
        <v>20.0</v>
      </c>
      <c r="E97" s="14">
        <v>0.0</v>
      </c>
      <c r="F97" s="114" t="s">
        <v>4631</v>
      </c>
      <c r="G97" s="114" t="s">
        <v>6</v>
      </c>
      <c r="H97" s="114" t="s">
        <v>4849</v>
      </c>
      <c r="I97" s="14" t="s">
        <v>4645</v>
      </c>
      <c r="J97" s="14" t="s">
        <v>4641</v>
      </c>
      <c r="K97" s="14" t="s">
        <v>4641</v>
      </c>
      <c r="L97" s="14" t="s">
        <v>4641</v>
      </c>
      <c r="M97" s="14" t="s">
        <v>4641</v>
      </c>
      <c r="N97" s="205" t="s">
        <v>423</v>
      </c>
      <c r="O97" s="14"/>
      <c r="P97" s="14"/>
    </row>
    <row r="98" ht="37.5" customHeight="1">
      <c r="A98" s="114" t="s">
        <v>4850</v>
      </c>
      <c r="B98" s="129"/>
      <c r="C98" s="204" t="s">
        <v>1162</v>
      </c>
      <c r="D98" s="14">
        <v>11.0</v>
      </c>
      <c r="E98" s="14">
        <v>46.0</v>
      </c>
      <c r="F98" s="130" t="s">
        <v>4638</v>
      </c>
      <c r="G98" s="114" t="s">
        <v>4639</v>
      </c>
      <c r="H98" s="114" t="s">
        <v>4851</v>
      </c>
      <c r="I98" s="14" t="s">
        <v>4645</v>
      </c>
      <c r="J98" s="14" t="s">
        <v>4645</v>
      </c>
      <c r="K98" s="14" t="s">
        <v>4641</v>
      </c>
      <c r="L98" s="14" t="s">
        <v>4641</v>
      </c>
      <c r="M98" s="14" t="s">
        <v>4641</v>
      </c>
      <c r="N98" s="205" t="s">
        <v>423</v>
      </c>
      <c r="O98" s="14"/>
      <c r="P98" s="14"/>
    </row>
    <row r="99" ht="37.5" customHeight="1">
      <c r="A99" s="114" t="s">
        <v>4852</v>
      </c>
      <c r="B99" s="129"/>
      <c r="C99" s="204" t="s">
        <v>1500</v>
      </c>
      <c r="D99" s="14">
        <v>8.0</v>
      </c>
      <c r="E99" s="14">
        <v>3.0</v>
      </c>
      <c r="F99" s="114" t="s">
        <v>4631</v>
      </c>
      <c r="G99" s="114" t="s">
        <v>4639</v>
      </c>
      <c r="H99" s="114" t="s">
        <v>4853</v>
      </c>
      <c r="I99" s="14" t="s">
        <v>4641</v>
      </c>
      <c r="J99" s="14" t="s">
        <v>4641</v>
      </c>
      <c r="K99" s="14" t="s">
        <v>4641</v>
      </c>
      <c r="L99" s="14" t="s">
        <v>4641</v>
      </c>
      <c r="M99" s="14" t="s">
        <v>4645</v>
      </c>
      <c r="N99" s="205" t="s">
        <v>423</v>
      </c>
      <c r="O99" s="14"/>
      <c r="P99" s="14"/>
    </row>
    <row r="100" ht="37.5" customHeight="1">
      <c r="A100" s="114" t="s">
        <v>4854</v>
      </c>
      <c r="B100" s="129"/>
      <c r="C100" s="204" t="s">
        <v>4855</v>
      </c>
      <c r="D100" s="14">
        <v>4.0</v>
      </c>
      <c r="E100" s="14">
        <v>56.0</v>
      </c>
      <c r="F100" s="114" t="s">
        <v>4656</v>
      </c>
      <c r="G100" s="114" t="s">
        <v>4639</v>
      </c>
      <c r="H100" s="114" t="s">
        <v>4856</v>
      </c>
      <c r="I100" s="128" t="s">
        <v>4641</v>
      </c>
      <c r="J100" s="128" t="s">
        <v>4641</v>
      </c>
      <c r="K100" s="128" t="s">
        <v>4641</v>
      </c>
      <c r="L100" s="128" t="s">
        <v>4641</v>
      </c>
      <c r="M100" s="128" t="s">
        <v>4641</v>
      </c>
      <c r="N100" s="205" t="s">
        <v>447</v>
      </c>
      <c r="O100" s="14"/>
      <c r="P100" s="14"/>
    </row>
    <row r="101" ht="37.5" customHeight="1">
      <c r="A101" s="114" t="s">
        <v>4857</v>
      </c>
      <c r="B101" s="129"/>
      <c r="C101" s="204" t="s">
        <v>4858</v>
      </c>
      <c r="D101" s="14">
        <v>4.0</v>
      </c>
      <c r="E101" s="14">
        <v>60.0</v>
      </c>
      <c r="F101" s="114" t="s">
        <v>4631</v>
      </c>
      <c r="G101" s="114" t="s">
        <v>4639</v>
      </c>
      <c r="H101" s="114" t="s">
        <v>4859</v>
      </c>
      <c r="I101" s="128" t="s">
        <v>4641</v>
      </c>
      <c r="J101" s="128" t="s">
        <v>4641</v>
      </c>
      <c r="K101" s="128" t="s">
        <v>4641</v>
      </c>
      <c r="L101" s="128" t="s">
        <v>4641</v>
      </c>
      <c r="M101" s="128" t="s">
        <v>4641</v>
      </c>
      <c r="N101" s="205" t="s">
        <v>447</v>
      </c>
      <c r="O101" s="14"/>
      <c r="P101" s="14"/>
    </row>
    <row r="102" ht="37.5" customHeight="1">
      <c r="A102" s="114" t="s">
        <v>4860</v>
      </c>
      <c r="B102" s="129"/>
      <c r="C102" s="204" t="s">
        <v>4861</v>
      </c>
      <c r="D102" s="14">
        <v>1.0</v>
      </c>
      <c r="E102" s="14">
        <v>55.0</v>
      </c>
      <c r="F102" s="130" t="s">
        <v>4638</v>
      </c>
      <c r="G102" s="114" t="s">
        <v>4639</v>
      </c>
      <c r="H102" s="114" t="s">
        <v>4862</v>
      </c>
      <c r="I102" s="128" t="s">
        <v>4641</v>
      </c>
      <c r="J102" s="128" t="s">
        <v>4641</v>
      </c>
      <c r="K102" s="128" t="s">
        <v>4641</v>
      </c>
      <c r="L102" s="128" t="s">
        <v>4641</v>
      </c>
      <c r="M102" s="128" t="s">
        <v>4641</v>
      </c>
      <c r="N102" s="205" t="s">
        <v>447</v>
      </c>
      <c r="O102" s="14"/>
      <c r="P102" s="14"/>
    </row>
    <row r="103" ht="37.5" customHeight="1">
      <c r="A103" s="114" t="s">
        <v>4863</v>
      </c>
      <c r="B103" s="129"/>
      <c r="C103" s="204" t="s">
        <v>4864</v>
      </c>
      <c r="D103" s="14">
        <v>21.0</v>
      </c>
      <c r="E103" s="14">
        <v>54.0</v>
      </c>
      <c r="F103" s="114" t="s">
        <v>4656</v>
      </c>
      <c r="G103" s="114" t="s">
        <v>4639</v>
      </c>
      <c r="H103" s="114" t="s">
        <v>4865</v>
      </c>
      <c r="I103" s="128" t="s">
        <v>4641</v>
      </c>
      <c r="J103" s="128" t="s">
        <v>4641</v>
      </c>
      <c r="K103" s="128" t="s">
        <v>4641</v>
      </c>
      <c r="L103" s="128" t="s">
        <v>4641</v>
      </c>
      <c r="M103" s="128" t="s">
        <v>4641</v>
      </c>
      <c r="N103" s="205" t="s">
        <v>447</v>
      </c>
      <c r="O103" s="14"/>
      <c r="P103" s="14"/>
    </row>
    <row r="104" ht="37.5" customHeight="1">
      <c r="A104" s="114" t="s">
        <v>4866</v>
      </c>
      <c r="B104" s="129"/>
      <c r="C104" s="204" t="s">
        <v>4867</v>
      </c>
      <c r="D104" s="14">
        <v>4.0</v>
      </c>
      <c r="E104" s="14">
        <v>59.0</v>
      </c>
      <c r="F104" s="114" t="s">
        <v>4656</v>
      </c>
      <c r="G104" s="114" t="s">
        <v>4639</v>
      </c>
      <c r="H104" s="114" t="s">
        <v>4868</v>
      </c>
      <c r="I104" s="128" t="s">
        <v>4641</v>
      </c>
      <c r="J104" s="128" t="s">
        <v>4641</v>
      </c>
      <c r="K104" s="128" t="s">
        <v>4641</v>
      </c>
      <c r="L104" s="128" t="s">
        <v>4641</v>
      </c>
      <c r="M104" s="128" t="s">
        <v>4641</v>
      </c>
      <c r="N104" s="205" t="s">
        <v>447</v>
      </c>
      <c r="O104" s="14"/>
      <c r="P104" s="14"/>
    </row>
    <row r="105" ht="37.5" customHeight="1">
      <c r="A105" s="114" t="s">
        <v>4869</v>
      </c>
      <c r="B105" s="129"/>
      <c r="C105" s="204" t="s">
        <v>1482</v>
      </c>
      <c r="D105" s="14">
        <v>2.0</v>
      </c>
      <c r="E105" s="14">
        <v>100.0</v>
      </c>
      <c r="F105" s="114" t="s">
        <v>4656</v>
      </c>
      <c r="G105" s="114" t="s">
        <v>4639</v>
      </c>
      <c r="H105" s="114" t="s">
        <v>4870</v>
      </c>
      <c r="I105" s="128" t="s">
        <v>4641</v>
      </c>
      <c r="J105" s="128" t="s">
        <v>4641</v>
      </c>
      <c r="K105" s="128" t="s">
        <v>4641</v>
      </c>
      <c r="L105" s="128" t="s">
        <v>4645</v>
      </c>
      <c r="M105" s="128" t="s">
        <v>4641</v>
      </c>
      <c r="N105" s="205" t="s">
        <v>447</v>
      </c>
      <c r="O105" s="14"/>
      <c r="P105" s="14"/>
    </row>
    <row r="106" ht="37.5" customHeight="1">
      <c r="A106" s="114" t="s">
        <v>4871</v>
      </c>
      <c r="B106" s="129"/>
      <c r="C106" s="204" t="s">
        <v>1483</v>
      </c>
      <c r="D106" s="14">
        <v>14.0</v>
      </c>
      <c r="E106" s="14">
        <v>50.0</v>
      </c>
      <c r="F106" s="114" t="s">
        <v>4656</v>
      </c>
      <c r="G106" s="114" t="s">
        <v>4639</v>
      </c>
      <c r="H106" s="114" t="s">
        <v>4872</v>
      </c>
      <c r="I106" s="128" t="s">
        <v>4641</v>
      </c>
      <c r="J106" s="128" t="s">
        <v>4641</v>
      </c>
      <c r="K106" s="128" t="s">
        <v>4641</v>
      </c>
      <c r="L106" s="128" t="s">
        <v>4641</v>
      </c>
      <c r="M106" s="128" t="s">
        <v>4641</v>
      </c>
      <c r="N106" s="205" t="s">
        <v>447</v>
      </c>
      <c r="O106" s="14"/>
      <c r="P106" s="14"/>
    </row>
    <row r="107" ht="37.5" customHeight="1">
      <c r="A107" s="114" t="s">
        <v>4873</v>
      </c>
      <c r="B107" s="129"/>
      <c r="C107" s="204" t="s">
        <v>4874</v>
      </c>
      <c r="D107" s="14">
        <v>22.0</v>
      </c>
      <c r="E107" s="14">
        <v>55.0</v>
      </c>
      <c r="F107" s="114" t="s">
        <v>4656</v>
      </c>
      <c r="G107" s="114" t="s">
        <v>4639</v>
      </c>
      <c r="H107" s="114" t="s">
        <v>4875</v>
      </c>
      <c r="I107" s="128" t="s">
        <v>4641</v>
      </c>
      <c r="J107" s="128" t="s">
        <v>4641</v>
      </c>
      <c r="K107" s="128" t="s">
        <v>4641</v>
      </c>
      <c r="L107" s="128" t="s">
        <v>4641</v>
      </c>
      <c r="M107" s="128" t="s">
        <v>4641</v>
      </c>
      <c r="N107" s="205" t="s">
        <v>447</v>
      </c>
      <c r="O107" s="14"/>
      <c r="P107" s="14"/>
    </row>
    <row r="108" ht="37.5" customHeight="1">
      <c r="A108" s="114" t="s">
        <v>4876</v>
      </c>
      <c r="B108" s="129"/>
      <c r="C108" s="204" t="s">
        <v>1107</v>
      </c>
      <c r="D108" s="14">
        <v>20.0</v>
      </c>
      <c r="E108" s="14">
        <v>40.0</v>
      </c>
      <c r="F108" s="114" t="s">
        <v>4631</v>
      </c>
      <c r="G108" s="114" t="s">
        <v>4639</v>
      </c>
      <c r="H108" s="114" t="s">
        <v>4877</v>
      </c>
      <c r="I108" s="128" t="s">
        <v>4641</v>
      </c>
      <c r="J108" s="128" t="s">
        <v>4641</v>
      </c>
      <c r="K108" s="128" t="s">
        <v>4641</v>
      </c>
      <c r="L108" s="128" t="s">
        <v>4641</v>
      </c>
      <c r="M108" s="128" t="s">
        <v>4641</v>
      </c>
      <c r="N108" s="205" t="s">
        <v>447</v>
      </c>
      <c r="O108" s="14"/>
      <c r="P108" s="14"/>
    </row>
    <row r="109" ht="37.5" customHeight="1">
      <c r="A109" s="114" t="s">
        <v>4878</v>
      </c>
      <c r="B109" s="129"/>
      <c r="C109" s="204" t="s">
        <v>4879</v>
      </c>
      <c r="D109" s="14">
        <v>9.0</v>
      </c>
      <c r="E109" s="14">
        <v>64.0</v>
      </c>
      <c r="F109" s="114" t="s">
        <v>4656</v>
      </c>
      <c r="G109" s="114" t="s">
        <v>4639</v>
      </c>
      <c r="H109" s="114" t="s">
        <v>4880</v>
      </c>
      <c r="I109" s="128" t="s">
        <v>4641</v>
      </c>
      <c r="J109" s="128" t="s">
        <v>4641</v>
      </c>
      <c r="K109" s="128" t="s">
        <v>4641</v>
      </c>
      <c r="L109" s="128" t="s">
        <v>4641</v>
      </c>
      <c r="M109" s="128" t="s">
        <v>4641</v>
      </c>
      <c r="N109" s="205" t="s">
        <v>447</v>
      </c>
      <c r="O109" s="14"/>
      <c r="P109" s="14"/>
    </row>
    <row r="110" ht="37.5" customHeight="1">
      <c r="A110" s="114" t="s">
        <v>4881</v>
      </c>
      <c r="B110" s="129"/>
      <c r="C110" s="204" t="s">
        <v>4882</v>
      </c>
      <c r="D110" s="14">
        <v>16.0</v>
      </c>
      <c r="E110" s="14">
        <v>70.0</v>
      </c>
      <c r="F110" s="130" t="s">
        <v>4638</v>
      </c>
      <c r="G110" s="114" t="s">
        <v>4639</v>
      </c>
      <c r="H110" s="114" t="s">
        <v>4883</v>
      </c>
      <c r="I110" s="128" t="s">
        <v>4641</v>
      </c>
      <c r="J110" s="128" t="s">
        <v>4641</v>
      </c>
      <c r="K110" s="128" t="s">
        <v>4641</v>
      </c>
      <c r="L110" s="128" t="s">
        <v>4641</v>
      </c>
      <c r="M110" s="128" t="s">
        <v>4641</v>
      </c>
      <c r="N110" s="205" t="s">
        <v>447</v>
      </c>
      <c r="O110" s="14"/>
      <c r="P110" s="14"/>
    </row>
    <row r="111" ht="37.5" customHeight="1">
      <c r="A111" s="114" t="s">
        <v>4884</v>
      </c>
      <c r="B111" s="129"/>
      <c r="C111" s="204" t="s">
        <v>4885</v>
      </c>
      <c r="D111" s="14">
        <v>16.0</v>
      </c>
      <c r="E111" s="14">
        <v>50.0</v>
      </c>
      <c r="F111" s="130" t="s">
        <v>4638</v>
      </c>
      <c r="G111" s="114" t="s">
        <v>4632</v>
      </c>
      <c r="H111" s="114" t="s">
        <v>4886</v>
      </c>
      <c r="I111" s="128" t="s">
        <v>4641</v>
      </c>
      <c r="J111" s="128" t="s">
        <v>4641</v>
      </c>
      <c r="K111" s="128" t="s">
        <v>4641</v>
      </c>
      <c r="L111" s="128" t="s">
        <v>4641</v>
      </c>
      <c r="M111" s="128" t="s">
        <v>4641</v>
      </c>
      <c r="N111" s="205" t="s">
        <v>447</v>
      </c>
      <c r="O111" s="14"/>
      <c r="P111" s="14"/>
    </row>
    <row r="112" ht="37.5" customHeight="1">
      <c r="A112" s="114" t="s">
        <v>4887</v>
      </c>
      <c r="B112" s="129"/>
      <c r="C112" s="204" t="s">
        <v>4888</v>
      </c>
      <c r="D112" s="14">
        <v>1.0</v>
      </c>
      <c r="E112" s="14">
        <v>40.0</v>
      </c>
      <c r="F112" s="114" t="s">
        <v>4656</v>
      </c>
      <c r="G112" s="114" t="s">
        <v>4639</v>
      </c>
      <c r="H112" s="114" t="s">
        <v>4889</v>
      </c>
      <c r="I112" s="128" t="s">
        <v>4641</v>
      </c>
      <c r="J112" s="128" t="s">
        <v>4641</v>
      </c>
      <c r="K112" s="128" t="s">
        <v>4641</v>
      </c>
      <c r="L112" s="128" t="s">
        <v>4641</v>
      </c>
      <c r="M112" s="128" t="s">
        <v>4641</v>
      </c>
      <c r="N112" s="205" t="s">
        <v>447</v>
      </c>
      <c r="O112" s="14"/>
      <c r="P112" s="14"/>
    </row>
    <row r="113" ht="37.5" customHeight="1">
      <c r="A113" s="114" t="s">
        <v>4890</v>
      </c>
      <c r="B113" s="129"/>
      <c r="C113" s="204" t="s">
        <v>4891</v>
      </c>
      <c r="D113" s="14">
        <v>1.0</v>
      </c>
      <c r="E113" s="14">
        <v>40.0</v>
      </c>
      <c r="F113" s="114" t="s">
        <v>4656</v>
      </c>
      <c r="G113" s="114" t="s">
        <v>4639</v>
      </c>
      <c r="H113" s="114" t="s">
        <v>4892</v>
      </c>
      <c r="I113" s="128" t="s">
        <v>4641</v>
      </c>
      <c r="J113" s="128" t="s">
        <v>4641</v>
      </c>
      <c r="K113" s="128" t="s">
        <v>4641</v>
      </c>
      <c r="L113" s="128" t="s">
        <v>4641</v>
      </c>
      <c r="M113" s="128" t="s">
        <v>4641</v>
      </c>
      <c r="N113" s="205" t="s">
        <v>447</v>
      </c>
      <c r="O113" s="14"/>
      <c r="P113" s="14"/>
    </row>
    <row r="114" ht="37.5" customHeight="1">
      <c r="A114" s="114" t="s">
        <v>4893</v>
      </c>
      <c r="B114" s="129"/>
      <c r="C114" s="204" t="s">
        <v>4894</v>
      </c>
      <c r="D114" s="14">
        <v>12.0</v>
      </c>
      <c r="E114" s="14">
        <v>52.0</v>
      </c>
      <c r="F114" s="114" t="s">
        <v>4656</v>
      </c>
      <c r="G114" s="114" t="s">
        <v>4639</v>
      </c>
      <c r="H114" s="114" t="s">
        <v>4895</v>
      </c>
      <c r="I114" s="128" t="s">
        <v>4641</v>
      </c>
      <c r="J114" s="128" t="s">
        <v>4641</v>
      </c>
      <c r="K114" s="128" t="s">
        <v>4641</v>
      </c>
      <c r="L114" s="128" t="s">
        <v>4641</v>
      </c>
      <c r="M114" s="128" t="s">
        <v>4641</v>
      </c>
      <c r="N114" s="205" t="s">
        <v>447</v>
      </c>
      <c r="O114" s="14"/>
      <c r="P114" s="14"/>
    </row>
    <row r="115" ht="37.5" customHeight="1">
      <c r="A115" s="114" t="s">
        <v>4896</v>
      </c>
      <c r="B115" s="129"/>
      <c r="C115" s="204" t="s">
        <v>4897</v>
      </c>
      <c r="D115" s="14">
        <v>10.0</v>
      </c>
      <c r="E115" s="14">
        <v>50.0</v>
      </c>
      <c r="F115" s="114" t="s">
        <v>4631</v>
      </c>
      <c r="G115" s="114" t="s">
        <v>4639</v>
      </c>
      <c r="H115" s="114" t="s">
        <v>4898</v>
      </c>
      <c r="I115" s="128" t="s">
        <v>4641</v>
      </c>
      <c r="J115" s="128" t="s">
        <v>4641</v>
      </c>
      <c r="K115" s="128" t="s">
        <v>4641</v>
      </c>
      <c r="L115" s="128" t="s">
        <v>4641</v>
      </c>
      <c r="M115" s="128" t="s">
        <v>4641</v>
      </c>
      <c r="N115" s="205" t="s">
        <v>447</v>
      </c>
      <c r="O115" s="14"/>
      <c r="P115" s="14"/>
    </row>
    <row r="116" ht="37.5" customHeight="1">
      <c r="A116" s="114" t="s">
        <v>4899</v>
      </c>
      <c r="B116" s="129"/>
      <c r="C116" s="204" t="s">
        <v>4900</v>
      </c>
      <c r="D116" s="14">
        <v>5.0</v>
      </c>
      <c r="E116" s="14">
        <v>26.0</v>
      </c>
      <c r="F116" s="130" t="s">
        <v>4638</v>
      </c>
      <c r="G116" s="114" t="s">
        <v>4639</v>
      </c>
      <c r="H116" s="114" t="s">
        <v>4901</v>
      </c>
      <c r="I116" s="128" t="s">
        <v>4641</v>
      </c>
      <c r="J116" s="128" t="s">
        <v>4641</v>
      </c>
      <c r="K116" s="128" t="s">
        <v>4641</v>
      </c>
      <c r="L116" s="128" t="s">
        <v>4641</v>
      </c>
      <c r="M116" s="128" t="s">
        <v>4641</v>
      </c>
      <c r="N116" s="205" t="s">
        <v>447</v>
      </c>
      <c r="O116" s="14"/>
      <c r="P116" s="14"/>
    </row>
    <row r="117" ht="37.5" customHeight="1">
      <c r="A117" s="114" t="s">
        <v>4902</v>
      </c>
      <c r="B117" s="130"/>
      <c r="C117" s="206" t="s">
        <v>710</v>
      </c>
      <c r="D117" s="128">
        <v>26.0</v>
      </c>
      <c r="E117" s="128">
        <v>52.0</v>
      </c>
      <c r="F117" s="114" t="s">
        <v>4656</v>
      </c>
      <c r="G117" s="114" t="s">
        <v>4639</v>
      </c>
      <c r="H117" s="130" t="s">
        <v>4903</v>
      </c>
      <c r="I117" s="128" t="s">
        <v>4641</v>
      </c>
      <c r="J117" s="128" t="s">
        <v>4641</v>
      </c>
      <c r="K117" s="128" t="s">
        <v>4641</v>
      </c>
      <c r="L117" s="128" t="s">
        <v>4645</v>
      </c>
      <c r="M117" s="128" t="s">
        <v>4641</v>
      </c>
      <c r="N117" s="205" t="s">
        <v>447</v>
      </c>
      <c r="O117" s="14"/>
      <c r="P117" s="14"/>
    </row>
    <row r="118" ht="37.5" customHeight="1">
      <c r="A118" s="114" t="s">
        <v>4904</v>
      </c>
      <c r="B118" s="129"/>
      <c r="C118" s="204" t="s">
        <v>4905</v>
      </c>
      <c r="D118" s="14">
        <v>15.0</v>
      </c>
      <c r="E118" s="14">
        <v>35.0</v>
      </c>
      <c r="F118" s="130" t="s">
        <v>4638</v>
      </c>
      <c r="G118" s="114" t="s">
        <v>4639</v>
      </c>
      <c r="H118" s="114" t="s">
        <v>4906</v>
      </c>
      <c r="I118" s="128" t="s">
        <v>4641</v>
      </c>
      <c r="J118" s="128" t="s">
        <v>4641</v>
      </c>
      <c r="K118" s="128" t="s">
        <v>4641</v>
      </c>
      <c r="L118" s="128" t="s">
        <v>4641</v>
      </c>
      <c r="M118" s="128" t="s">
        <v>4641</v>
      </c>
      <c r="N118" s="205" t="s">
        <v>447</v>
      </c>
      <c r="O118" s="14"/>
      <c r="P118" s="14"/>
    </row>
    <row r="119" ht="37.5" customHeight="1">
      <c r="A119" s="114" t="s">
        <v>4907</v>
      </c>
      <c r="B119" s="129"/>
      <c r="C119" s="204" t="s">
        <v>4908</v>
      </c>
      <c r="D119" s="14">
        <v>1.0</v>
      </c>
      <c r="E119" s="14">
        <v>60.0</v>
      </c>
      <c r="F119" s="114" t="s">
        <v>4656</v>
      </c>
      <c r="G119" s="114" t="s">
        <v>4639</v>
      </c>
      <c r="H119" s="114" t="s">
        <v>4909</v>
      </c>
      <c r="I119" s="128" t="s">
        <v>4641</v>
      </c>
      <c r="J119" s="128" t="s">
        <v>4641</v>
      </c>
      <c r="K119" s="128" t="s">
        <v>4641</v>
      </c>
      <c r="L119" s="128" t="s">
        <v>4641</v>
      </c>
      <c r="M119" s="128" t="s">
        <v>4641</v>
      </c>
      <c r="N119" s="205" t="s">
        <v>447</v>
      </c>
      <c r="O119" s="14"/>
      <c r="P119" s="14"/>
    </row>
    <row r="120" ht="37.5" customHeight="1">
      <c r="A120" s="114" t="s">
        <v>4910</v>
      </c>
      <c r="B120" s="129"/>
      <c r="C120" s="204" t="s">
        <v>4911</v>
      </c>
      <c r="D120" s="14">
        <v>12.0</v>
      </c>
      <c r="E120" s="14">
        <v>57.0</v>
      </c>
      <c r="F120" s="114" t="s">
        <v>4656</v>
      </c>
      <c r="G120" s="114" t="s">
        <v>4639</v>
      </c>
      <c r="H120" s="114" t="s">
        <v>4912</v>
      </c>
      <c r="I120" s="128" t="s">
        <v>4641</v>
      </c>
      <c r="J120" s="128" t="s">
        <v>4641</v>
      </c>
      <c r="K120" s="128" t="s">
        <v>4641</v>
      </c>
      <c r="L120" s="128" t="s">
        <v>4641</v>
      </c>
      <c r="M120" s="128" t="s">
        <v>4641</v>
      </c>
      <c r="N120" s="205" t="s">
        <v>447</v>
      </c>
      <c r="O120" s="14"/>
      <c r="P120" s="14"/>
    </row>
    <row r="121" ht="37.5" customHeight="1">
      <c r="A121" s="114" t="s">
        <v>4913</v>
      </c>
      <c r="B121" s="129"/>
      <c r="C121" s="204" t="s">
        <v>4914</v>
      </c>
      <c r="D121" s="14">
        <v>4.0</v>
      </c>
      <c r="E121" s="14">
        <v>80.0</v>
      </c>
      <c r="F121" s="114" t="s">
        <v>4631</v>
      </c>
      <c r="G121" s="114" t="s">
        <v>6</v>
      </c>
      <c r="H121" s="114" t="s">
        <v>4915</v>
      </c>
      <c r="I121" s="128" t="s">
        <v>4641</v>
      </c>
      <c r="J121" s="128" t="s">
        <v>4641</v>
      </c>
      <c r="K121" s="128" t="s">
        <v>4641</v>
      </c>
      <c r="L121" s="128" t="s">
        <v>4641</v>
      </c>
      <c r="M121" s="128" t="s">
        <v>4641</v>
      </c>
      <c r="N121" s="205" t="s">
        <v>447</v>
      </c>
      <c r="O121" s="14"/>
      <c r="P121" s="14"/>
    </row>
    <row r="122" ht="37.5" customHeight="1">
      <c r="A122" s="114" t="s">
        <v>4916</v>
      </c>
      <c r="B122" s="129"/>
      <c r="C122" s="204" t="s">
        <v>1489</v>
      </c>
      <c r="D122" s="14">
        <v>11.0</v>
      </c>
      <c r="E122" s="14">
        <v>46.0</v>
      </c>
      <c r="F122" s="130" t="s">
        <v>4638</v>
      </c>
      <c r="G122" s="114" t="s">
        <v>4639</v>
      </c>
      <c r="H122" s="114" t="s">
        <v>4917</v>
      </c>
      <c r="I122" s="128" t="s">
        <v>4641</v>
      </c>
      <c r="J122" s="128" t="s">
        <v>4641</v>
      </c>
      <c r="K122" s="128" t="s">
        <v>4641</v>
      </c>
      <c r="L122" s="128" t="s">
        <v>4641</v>
      </c>
      <c r="M122" s="128" t="s">
        <v>4641</v>
      </c>
      <c r="N122" s="205" t="s">
        <v>447</v>
      </c>
      <c r="O122" s="14"/>
      <c r="P122" s="14"/>
    </row>
    <row r="123" ht="37.5" customHeight="1">
      <c r="A123" s="114" t="s">
        <v>4918</v>
      </c>
      <c r="B123" s="129"/>
      <c r="C123" s="204" t="s">
        <v>4919</v>
      </c>
      <c r="D123" s="14">
        <v>1.0</v>
      </c>
      <c r="E123" s="14">
        <v>60.0</v>
      </c>
      <c r="F123" s="114" t="s">
        <v>4656</v>
      </c>
      <c r="G123" s="114" t="s">
        <v>4639</v>
      </c>
      <c r="H123" s="114" t="s">
        <v>4920</v>
      </c>
      <c r="I123" s="128" t="s">
        <v>4641</v>
      </c>
      <c r="J123" s="128" t="s">
        <v>4641</v>
      </c>
      <c r="K123" s="128" t="s">
        <v>4641</v>
      </c>
      <c r="L123" s="128" t="s">
        <v>4641</v>
      </c>
      <c r="M123" s="128" t="s">
        <v>4641</v>
      </c>
      <c r="N123" s="205" t="s">
        <v>447</v>
      </c>
      <c r="O123" s="14"/>
      <c r="P123" s="14"/>
    </row>
    <row r="124" ht="37.5" customHeight="1">
      <c r="A124" s="114" t="s">
        <v>4921</v>
      </c>
      <c r="B124" s="129"/>
      <c r="C124" s="204" t="s">
        <v>4922</v>
      </c>
      <c r="D124" s="14">
        <v>1.0</v>
      </c>
      <c r="E124" s="14">
        <v>30.0</v>
      </c>
      <c r="F124" s="114" t="s">
        <v>4656</v>
      </c>
      <c r="G124" s="114" t="s">
        <v>4639</v>
      </c>
      <c r="H124" s="114" t="s">
        <v>4923</v>
      </c>
      <c r="I124" s="128" t="s">
        <v>4641</v>
      </c>
      <c r="J124" s="128" t="s">
        <v>4641</v>
      </c>
      <c r="K124" s="128" t="s">
        <v>4641</v>
      </c>
      <c r="L124" s="128" t="s">
        <v>4641</v>
      </c>
      <c r="M124" s="128" t="s">
        <v>4641</v>
      </c>
      <c r="N124" s="205" t="s">
        <v>447</v>
      </c>
      <c r="O124" s="14"/>
      <c r="P124" s="14"/>
    </row>
    <row r="125" ht="37.5" customHeight="1">
      <c r="A125" s="114" t="s">
        <v>4924</v>
      </c>
      <c r="B125" s="129"/>
      <c r="C125" s="204" t="s">
        <v>4925</v>
      </c>
      <c r="D125" s="14">
        <v>3.0</v>
      </c>
      <c r="E125" s="14">
        <v>90.0</v>
      </c>
      <c r="F125" s="114" t="s">
        <v>4656</v>
      </c>
      <c r="G125" s="114" t="s">
        <v>4639</v>
      </c>
      <c r="H125" s="114" t="s">
        <v>4926</v>
      </c>
      <c r="I125" s="128" t="s">
        <v>4641</v>
      </c>
      <c r="J125" s="128" t="s">
        <v>4641</v>
      </c>
      <c r="K125" s="128" t="s">
        <v>4641</v>
      </c>
      <c r="L125" s="128" t="s">
        <v>4641</v>
      </c>
      <c r="M125" s="128" t="s">
        <v>4641</v>
      </c>
      <c r="N125" s="205" t="s">
        <v>447</v>
      </c>
      <c r="O125" s="14"/>
      <c r="P125" s="14"/>
    </row>
    <row r="126" ht="37.5" customHeight="1">
      <c r="A126" s="114" t="s">
        <v>4927</v>
      </c>
      <c r="B126" s="129"/>
      <c r="C126" s="204" t="s">
        <v>4928</v>
      </c>
      <c r="D126" s="14">
        <v>1.0</v>
      </c>
      <c r="E126" s="14">
        <v>80.0</v>
      </c>
      <c r="F126" s="114" t="s">
        <v>4656</v>
      </c>
      <c r="G126" s="114" t="s">
        <v>4639</v>
      </c>
      <c r="H126" s="114" t="s">
        <v>4929</v>
      </c>
      <c r="I126" s="128" t="s">
        <v>4641</v>
      </c>
      <c r="J126" s="128" t="s">
        <v>4641</v>
      </c>
      <c r="K126" s="128" t="s">
        <v>4641</v>
      </c>
      <c r="L126" s="128" t="s">
        <v>4641</v>
      </c>
      <c r="M126" s="128" t="s">
        <v>4641</v>
      </c>
      <c r="N126" s="205" t="s">
        <v>447</v>
      </c>
      <c r="O126" s="14"/>
      <c r="P126" s="14"/>
    </row>
    <row r="127" ht="37.5" customHeight="1">
      <c r="A127" s="114" t="s">
        <v>4930</v>
      </c>
      <c r="B127" s="129"/>
      <c r="C127" s="204" t="s">
        <v>4931</v>
      </c>
      <c r="D127" s="14">
        <v>9.0</v>
      </c>
      <c r="E127" s="14">
        <v>60.0</v>
      </c>
      <c r="F127" s="114" t="s">
        <v>4656</v>
      </c>
      <c r="G127" s="114" t="s">
        <v>4639</v>
      </c>
      <c r="H127" s="114" t="s">
        <v>4932</v>
      </c>
      <c r="I127" s="128" t="s">
        <v>4641</v>
      </c>
      <c r="J127" s="128" t="s">
        <v>4641</v>
      </c>
      <c r="K127" s="128" t="s">
        <v>4641</v>
      </c>
      <c r="L127" s="128" t="s">
        <v>4641</v>
      </c>
      <c r="M127" s="128" t="s">
        <v>4641</v>
      </c>
      <c r="N127" s="205" t="s">
        <v>447</v>
      </c>
      <c r="O127" s="14"/>
      <c r="P127" s="14"/>
    </row>
    <row r="128" ht="37.5" customHeight="1">
      <c r="A128" s="114" t="s">
        <v>4933</v>
      </c>
      <c r="B128" s="129"/>
      <c r="C128" s="204" t="s">
        <v>4934</v>
      </c>
      <c r="D128" s="14">
        <v>2.0</v>
      </c>
      <c r="E128" s="14">
        <v>55.0</v>
      </c>
      <c r="F128" s="130" t="s">
        <v>4638</v>
      </c>
      <c r="G128" s="114" t="s">
        <v>4639</v>
      </c>
      <c r="H128" s="114" t="s">
        <v>4935</v>
      </c>
      <c r="I128" s="128" t="s">
        <v>4641</v>
      </c>
      <c r="J128" s="128" t="s">
        <v>4641</v>
      </c>
      <c r="K128" s="128" t="s">
        <v>4641</v>
      </c>
      <c r="L128" s="128" t="s">
        <v>4641</v>
      </c>
      <c r="M128" s="128" t="s">
        <v>4641</v>
      </c>
      <c r="N128" s="205" t="s">
        <v>447</v>
      </c>
      <c r="O128" s="14"/>
      <c r="P128" s="14"/>
    </row>
    <row r="129" ht="37.5" customHeight="1">
      <c r="A129" s="114" t="s">
        <v>4936</v>
      </c>
      <c r="B129" s="129"/>
      <c r="C129" s="204" t="s">
        <v>4937</v>
      </c>
      <c r="D129" s="14">
        <v>4.0</v>
      </c>
      <c r="E129" s="14">
        <v>65.0</v>
      </c>
      <c r="F129" s="130" t="s">
        <v>4638</v>
      </c>
      <c r="G129" s="114" t="s">
        <v>6</v>
      </c>
      <c r="H129" s="114" t="s">
        <v>4938</v>
      </c>
      <c r="I129" s="128" t="s">
        <v>4641</v>
      </c>
      <c r="J129" s="128" t="s">
        <v>4641</v>
      </c>
      <c r="K129" s="128" t="s">
        <v>4641</v>
      </c>
      <c r="L129" s="128" t="s">
        <v>4641</v>
      </c>
      <c r="M129" s="128" t="s">
        <v>4641</v>
      </c>
      <c r="N129" s="205" t="s">
        <v>447</v>
      </c>
      <c r="O129" s="14"/>
      <c r="P129" s="14"/>
    </row>
    <row r="130" ht="37.5" customHeight="1">
      <c r="A130" s="114" t="s">
        <v>4939</v>
      </c>
      <c r="B130" s="129"/>
      <c r="C130" s="204" t="s">
        <v>4940</v>
      </c>
      <c r="D130" s="14">
        <v>2.0</v>
      </c>
      <c r="E130" s="14">
        <v>70.0</v>
      </c>
      <c r="F130" s="114" t="s">
        <v>4631</v>
      </c>
      <c r="G130" s="114" t="s">
        <v>4684</v>
      </c>
      <c r="H130" s="114" t="s">
        <v>4941</v>
      </c>
      <c r="I130" s="128" t="s">
        <v>4641</v>
      </c>
      <c r="J130" s="128" t="s">
        <v>4641</v>
      </c>
      <c r="K130" s="128" t="s">
        <v>4641</v>
      </c>
      <c r="L130" s="128" t="s">
        <v>4641</v>
      </c>
      <c r="M130" s="128" t="s">
        <v>4641</v>
      </c>
      <c r="N130" s="205" t="s">
        <v>447</v>
      </c>
      <c r="O130" s="14"/>
      <c r="P130" s="14"/>
    </row>
    <row r="131" ht="37.5" customHeight="1">
      <c r="A131" s="114" t="s">
        <v>4942</v>
      </c>
      <c r="B131" s="129"/>
      <c r="C131" s="204" t="s">
        <v>4943</v>
      </c>
      <c r="D131" s="14">
        <v>2.0</v>
      </c>
      <c r="E131" s="14">
        <v>30.0</v>
      </c>
      <c r="F131" s="114" t="s">
        <v>4656</v>
      </c>
      <c r="G131" s="114" t="s">
        <v>4639</v>
      </c>
      <c r="H131" s="114" t="s">
        <v>4944</v>
      </c>
      <c r="I131" s="128" t="s">
        <v>4641</v>
      </c>
      <c r="J131" s="128" t="s">
        <v>4641</v>
      </c>
      <c r="K131" s="128" t="s">
        <v>4641</v>
      </c>
      <c r="L131" s="128" t="s">
        <v>4641</v>
      </c>
      <c r="M131" s="128" t="s">
        <v>4641</v>
      </c>
      <c r="N131" s="205" t="s">
        <v>447</v>
      </c>
      <c r="O131" s="14"/>
      <c r="P131" s="14"/>
    </row>
    <row r="132" ht="37.5" customHeight="1">
      <c r="A132" s="114" t="s">
        <v>4945</v>
      </c>
      <c r="B132" s="129"/>
      <c r="C132" s="204" t="s">
        <v>1146</v>
      </c>
      <c r="D132" s="14">
        <v>5.0</v>
      </c>
      <c r="E132" s="14">
        <v>40.0</v>
      </c>
      <c r="F132" s="114" t="s">
        <v>4656</v>
      </c>
      <c r="G132" s="114" t="s">
        <v>4639</v>
      </c>
      <c r="H132" s="114" t="s">
        <v>4946</v>
      </c>
      <c r="I132" s="128" t="s">
        <v>4641</v>
      </c>
      <c r="J132" s="128" t="s">
        <v>4641</v>
      </c>
      <c r="K132" s="128" t="s">
        <v>4641</v>
      </c>
      <c r="L132" s="128" t="s">
        <v>4641</v>
      </c>
      <c r="M132" s="128" t="s">
        <v>4641</v>
      </c>
      <c r="N132" s="205" t="s">
        <v>447</v>
      </c>
      <c r="O132" s="14"/>
      <c r="P132" s="14"/>
    </row>
    <row r="133" ht="37.5" customHeight="1">
      <c r="A133" s="114" t="s">
        <v>4947</v>
      </c>
      <c r="B133" s="129"/>
      <c r="C133" s="204" t="s">
        <v>887</v>
      </c>
      <c r="D133" s="14">
        <v>1.0</v>
      </c>
      <c r="E133" s="14">
        <v>30.0</v>
      </c>
      <c r="F133" s="114" t="s">
        <v>4631</v>
      </c>
      <c r="G133" s="114" t="s">
        <v>4687</v>
      </c>
      <c r="H133" s="114" t="s">
        <v>4948</v>
      </c>
      <c r="I133" s="128" t="s">
        <v>4641</v>
      </c>
      <c r="J133" s="128" t="s">
        <v>4641</v>
      </c>
      <c r="K133" s="128" t="s">
        <v>4641</v>
      </c>
      <c r="L133" s="128" t="s">
        <v>4641</v>
      </c>
      <c r="M133" s="128" t="s">
        <v>4641</v>
      </c>
      <c r="N133" s="205" t="s">
        <v>447</v>
      </c>
      <c r="O133" s="14"/>
      <c r="P133" s="14"/>
    </row>
    <row r="134" ht="37.5" customHeight="1">
      <c r="A134" s="114" t="s">
        <v>4949</v>
      </c>
      <c r="B134" s="129"/>
      <c r="C134" s="204" t="s">
        <v>1492</v>
      </c>
      <c r="D134" s="14">
        <v>6.0</v>
      </c>
      <c r="E134" s="14">
        <v>60.0</v>
      </c>
      <c r="F134" s="114" t="s">
        <v>4656</v>
      </c>
      <c r="G134" s="114" t="s">
        <v>4639</v>
      </c>
      <c r="H134" s="114" t="s">
        <v>4950</v>
      </c>
      <c r="I134" s="128" t="s">
        <v>4641</v>
      </c>
      <c r="J134" s="128" t="s">
        <v>4641</v>
      </c>
      <c r="K134" s="128" t="s">
        <v>4641</v>
      </c>
      <c r="L134" s="128" t="s">
        <v>4641</v>
      </c>
      <c r="M134" s="128" t="s">
        <v>4641</v>
      </c>
      <c r="N134" s="205" t="s">
        <v>447</v>
      </c>
      <c r="O134" s="14"/>
      <c r="P134" s="14"/>
    </row>
    <row r="135" ht="37.5" customHeight="1">
      <c r="A135" s="114" t="s">
        <v>4951</v>
      </c>
      <c r="B135" s="129"/>
      <c r="C135" s="204" t="s">
        <v>1495</v>
      </c>
      <c r="D135" s="14">
        <v>11.0</v>
      </c>
      <c r="E135" s="14">
        <v>44.0</v>
      </c>
      <c r="F135" s="114" t="s">
        <v>4656</v>
      </c>
      <c r="G135" s="114" t="s">
        <v>4639</v>
      </c>
      <c r="H135" s="114" t="s">
        <v>4952</v>
      </c>
      <c r="I135" s="128" t="s">
        <v>4641</v>
      </c>
      <c r="J135" s="128" t="s">
        <v>4641</v>
      </c>
      <c r="K135" s="128" t="s">
        <v>4641</v>
      </c>
      <c r="L135" s="128" t="s">
        <v>4641</v>
      </c>
      <c r="M135" s="128" t="s">
        <v>4641</v>
      </c>
      <c r="N135" s="205" t="s">
        <v>447</v>
      </c>
      <c r="O135" s="14"/>
      <c r="P135" s="14"/>
    </row>
    <row r="136" ht="37.5" customHeight="1">
      <c r="A136" s="114" t="s">
        <v>4953</v>
      </c>
      <c r="B136" s="129"/>
      <c r="C136" s="204" t="s">
        <v>4954</v>
      </c>
      <c r="D136" s="14">
        <v>17.0</v>
      </c>
      <c r="E136" s="14">
        <v>50.0</v>
      </c>
      <c r="F136" s="114" t="s">
        <v>4656</v>
      </c>
      <c r="G136" s="114" t="s">
        <v>4639</v>
      </c>
      <c r="H136" s="114" t="s">
        <v>4955</v>
      </c>
      <c r="I136" s="128" t="s">
        <v>4641</v>
      </c>
      <c r="J136" s="128" t="s">
        <v>4641</v>
      </c>
      <c r="K136" s="128" t="s">
        <v>4641</v>
      </c>
      <c r="L136" s="128" t="s">
        <v>4641</v>
      </c>
      <c r="M136" s="128" t="s">
        <v>4641</v>
      </c>
      <c r="N136" s="205" t="s">
        <v>447</v>
      </c>
      <c r="O136" s="14"/>
      <c r="P136" s="14"/>
    </row>
    <row r="137" ht="37.5" customHeight="1">
      <c r="A137" s="114" t="s">
        <v>4956</v>
      </c>
      <c r="B137" s="129"/>
      <c r="C137" s="204" t="s">
        <v>4957</v>
      </c>
      <c r="D137" s="14">
        <v>7.0</v>
      </c>
      <c r="E137" s="14">
        <v>40.0</v>
      </c>
      <c r="F137" s="114" t="s">
        <v>4631</v>
      </c>
      <c r="G137" s="114" t="s">
        <v>4684</v>
      </c>
      <c r="H137" s="114" t="s">
        <v>4958</v>
      </c>
      <c r="I137" s="128" t="s">
        <v>4641</v>
      </c>
      <c r="J137" s="128" t="s">
        <v>4641</v>
      </c>
      <c r="K137" s="128" t="s">
        <v>4641</v>
      </c>
      <c r="L137" s="128" t="s">
        <v>4641</v>
      </c>
      <c r="M137" s="128" t="s">
        <v>4641</v>
      </c>
      <c r="N137" s="205" t="s">
        <v>447</v>
      </c>
      <c r="O137" s="14"/>
      <c r="P137" s="14"/>
    </row>
    <row r="138" ht="37.5" customHeight="1">
      <c r="A138" s="114" t="s">
        <v>4959</v>
      </c>
      <c r="B138" s="129"/>
      <c r="C138" s="204" t="s">
        <v>1497</v>
      </c>
      <c r="D138" s="14">
        <v>4.0</v>
      </c>
      <c r="E138" s="14">
        <v>30.0</v>
      </c>
      <c r="F138" s="114" t="s">
        <v>4631</v>
      </c>
      <c r="G138" s="114" t="s">
        <v>6</v>
      </c>
      <c r="H138" s="114" t="s">
        <v>4960</v>
      </c>
      <c r="I138" s="128" t="s">
        <v>4641</v>
      </c>
      <c r="J138" s="128" t="s">
        <v>4641</v>
      </c>
      <c r="K138" s="128" t="s">
        <v>4641</v>
      </c>
      <c r="L138" s="128" t="s">
        <v>4641</v>
      </c>
      <c r="M138" s="128" t="s">
        <v>4641</v>
      </c>
      <c r="N138" s="205" t="s">
        <v>447</v>
      </c>
      <c r="O138" s="14"/>
      <c r="P138" s="14"/>
    </row>
    <row r="139" ht="37.5" customHeight="1">
      <c r="A139" s="114" t="s">
        <v>4961</v>
      </c>
      <c r="B139" s="129"/>
      <c r="C139" s="204" t="s">
        <v>4962</v>
      </c>
      <c r="D139" s="14">
        <v>1.0</v>
      </c>
      <c r="E139" s="14">
        <v>55.0</v>
      </c>
      <c r="F139" s="114" t="s">
        <v>4656</v>
      </c>
      <c r="G139" s="114" t="s">
        <v>4639</v>
      </c>
      <c r="H139" s="114" t="s">
        <v>4963</v>
      </c>
      <c r="I139" s="128" t="s">
        <v>4641</v>
      </c>
      <c r="J139" s="128" t="s">
        <v>4641</v>
      </c>
      <c r="K139" s="128" t="s">
        <v>4641</v>
      </c>
      <c r="L139" s="128" t="s">
        <v>4641</v>
      </c>
      <c r="M139" s="128" t="s">
        <v>4641</v>
      </c>
      <c r="N139" s="205" t="s">
        <v>447</v>
      </c>
      <c r="O139" s="14"/>
      <c r="P139" s="14"/>
    </row>
    <row r="140" ht="37.5" customHeight="1">
      <c r="A140" s="114" t="s">
        <v>4964</v>
      </c>
      <c r="B140" s="129"/>
      <c r="C140" s="204" t="s">
        <v>1499</v>
      </c>
      <c r="D140" s="14">
        <v>4.0</v>
      </c>
      <c r="E140" s="14">
        <v>50.0</v>
      </c>
      <c r="F140" s="130" t="s">
        <v>4638</v>
      </c>
      <c r="G140" s="114" t="s">
        <v>4639</v>
      </c>
      <c r="H140" s="114" t="s">
        <v>4965</v>
      </c>
      <c r="I140" s="128" t="s">
        <v>4641</v>
      </c>
      <c r="J140" s="128" t="s">
        <v>4641</v>
      </c>
      <c r="K140" s="128" t="s">
        <v>4641</v>
      </c>
      <c r="L140" s="128" t="s">
        <v>4641</v>
      </c>
      <c r="M140" s="128" t="s">
        <v>4641</v>
      </c>
      <c r="N140" s="205" t="s">
        <v>447</v>
      </c>
      <c r="O140" s="14"/>
      <c r="P140" s="14"/>
    </row>
    <row r="141" ht="37.5" customHeight="1">
      <c r="A141" s="114" t="s">
        <v>4966</v>
      </c>
      <c r="B141" s="129"/>
      <c r="C141" s="204" t="s">
        <v>1161</v>
      </c>
      <c r="D141" s="14">
        <v>4.0</v>
      </c>
      <c r="E141" s="14">
        <v>50.0</v>
      </c>
      <c r="F141" s="114" t="s">
        <v>4656</v>
      </c>
      <c r="G141" s="114" t="s">
        <v>4639</v>
      </c>
      <c r="H141" s="114" t="s">
        <v>4967</v>
      </c>
      <c r="I141" s="128" t="s">
        <v>4641</v>
      </c>
      <c r="J141" s="128" t="s">
        <v>4641</v>
      </c>
      <c r="K141" s="128" t="s">
        <v>4641</v>
      </c>
      <c r="L141" s="128" t="s">
        <v>4641</v>
      </c>
      <c r="M141" s="128" t="s">
        <v>4641</v>
      </c>
      <c r="N141" s="205" t="s">
        <v>447</v>
      </c>
      <c r="O141" s="14"/>
      <c r="P141" s="14"/>
    </row>
    <row r="142" ht="37.5" customHeight="1">
      <c r="A142" s="114" t="s">
        <v>4968</v>
      </c>
      <c r="B142" s="129"/>
      <c r="C142" s="204" t="s">
        <v>4969</v>
      </c>
      <c r="D142" s="14">
        <v>23.0</v>
      </c>
      <c r="E142" s="14">
        <v>54.0</v>
      </c>
      <c r="F142" s="114" t="s">
        <v>4656</v>
      </c>
      <c r="G142" s="114" t="s">
        <v>4639</v>
      </c>
      <c r="H142" s="114" t="s">
        <v>4970</v>
      </c>
      <c r="I142" s="128" t="s">
        <v>4641</v>
      </c>
      <c r="J142" s="128" t="s">
        <v>4641</v>
      </c>
      <c r="K142" s="128" t="s">
        <v>4641</v>
      </c>
      <c r="L142" s="128" t="s">
        <v>4641</v>
      </c>
      <c r="M142" s="128" t="s">
        <v>4641</v>
      </c>
      <c r="N142" s="205" t="s">
        <v>447</v>
      </c>
      <c r="O142" s="14"/>
      <c r="P142" s="14"/>
    </row>
    <row r="143" ht="37.5" customHeight="1">
      <c r="A143" s="114" t="s">
        <v>4971</v>
      </c>
      <c r="B143" s="129"/>
      <c r="C143" s="204" t="s">
        <v>4972</v>
      </c>
      <c r="D143" s="14">
        <v>3.0</v>
      </c>
      <c r="E143" s="14">
        <v>100.0</v>
      </c>
      <c r="F143" s="114" t="s">
        <v>4631</v>
      </c>
      <c r="G143" s="114" t="s">
        <v>4639</v>
      </c>
      <c r="H143" s="114" t="s">
        <v>4973</v>
      </c>
      <c r="I143" s="128" t="s">
        <v>4641</v>
      </c>
      <c r="J143" s="128" t="s">
        <v>4641</v>
      </c>
      <c r="K143" s="128" t="s">
        <v>4641</v>
      </c>
      <c r="L143" s="128" t="s">
        <v>4641</v>
      </c>
      <c r="M143" s="14" t="s">
        <v>4645</v>
      </c>
      <c r="N143" s="205" t="s">
        <v>447</v>
      </c>
      <c r="O143" s="14"/>
      <c r="P143" s="14"/>
    </row>
  </sheetData>
  <autoFilter ref="$A$2:$N$143">
    <sortState ref="A2:N143">
      <sortCondition ref="N2:N143"/>
      <sortCondition ref="C2:C143"/>
    </sortState>
  </autoFilter>
  <mergeCells count="4">
    <mergeCell ref="B1:H1"/>
    <mergeCell ref="I1:N1"/>
    <mergeCell ref="O1:P2"/>
    <mergeCell ref="O7:P7"/>
  </mergeCells>
  <conditionalFormatting sqref="I3:P143">
    <cfRule type="cellIs" dxfId="5" priority="1" operator="equal">
      <formula>"S"</formula>
    </cfRule>
  </conditionalFormatting>
  <conditionalFormatting sqref="I3:P143">
    <cfRule type="cellIs" dxfId="9" priority="2" operator="equal">
      <formula>"A"</formula>
    </cfRule>
  </conditionalFormatting>
  <conditionalFormatting sqref="I3:P143">
    <cfRule type="cellIs" dxfId="6" priority="3" operator="equal">
      <formula>"B"</formula>
    </cfRule>
  </conditionalFormatting>
  <conditionalFormatting sqref="I3:P143">
    <cfRule type="cellIs" dxfId="8" priority="4" operator="equal">
      <formula>"C"</formula>
    </cfRule>
  </conditionalFormatting>
  <conditionalFormatting sqref="I3:P143">
    <cfRule type="cellIs" dxfId="7" priority="5" operator="equal">
      <formula>"D"</formula>
    </cfRule>
  </conditionalFormatting>
  <conditionalFormatting sqref="N3:N143">
    <cfRule type="cellIs" dxfId="4" priority="6" operator="equal">
      <formula>"E"</formula>
    </cfRule>
  </conditionalFormatting>
  <conditionalFormatting sqref="I3:P143">
    <cfRule type="cellIs" dxfId="23" priority="7" operator="equal">
      <formula>"F"</formula>
    </cfRule>
  </conditionalFormatting>
  <conditionalFormatting sqref="I3:P143">
    <cfRule type="cellIs" dxfId="5" priority="8" operator="equal">
      <formula>"✔"</formula>
    </cfRule>
  </conditionalFormatting>
  <conditionalFormatting sqref="I3:P143">
    <cfRule type="cellIs" dxfId="6" priority="9" operator="equal">
      <formula>"▲"</formula>
    </cfRule>
  </conditionalFormatting>
  <conditionalFormatting sqref="I3:P143">
    <cfRule type="cellIs" dxfId="24" priority="10" operator="equal">
      <formula>"!"</formula>
    </cfRule>
  </conditionalFormatting>
  <conditionalFormatting sqref="I3:P143">
    <cfRule type="cellIs" dxfId="7" priority="11" operator="equal">
      <formula>"✖"</formula>
    </cfRule>
  </conditionalFormatting>
  <conditionalFormatting sqref="I3:P143">
    <cfRule type="cellIs" dxfId="25" priority="12" operator="equal">
      <formula>"G"</formula>
    </cfRule>
  </conditionalFormatting>
  <conditionalFormatting sqref="F3:F143">
    <cfRule type="cellIs" dxfId="16" priority="13" operator="equal">
      <formula>"primary"</formula>
    </cfRule>
  </conditionalFormatting>
  <conditionalFormatting sqref="C3:D143">
    <cfRule type="expression" dxfId="26" priority="14">
      <formula>$D3=MAX($D$3:$D143)</formula>
    </cfRule>
  </conditionalFormatting>
  <conditionalFormatting sqref="F3:F143">
    <cfRule type="cellIs" dxfId="18" priority="15" operator="equal">
      <formula>"power"</formula>
    </cfRule>
  </conditionalFormatting>
  <conditionalFormatting sqref="E3:E143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3:F143">
    <cfRule type="cellIs" dxfId="17" priority="17" operator="equal">
      <formula>"special"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8.88"/>
    <col customWidth="1" min="3" max="3" width="43.88"/>
    <col customWidth="1" min="4" max="5" width="8.0"/>
    <col customWidth="1" min="6" max="6" width="6.38"/>
    <col customWidth="1" min="7" max="7" width="18.88"/>
    <col customWidth="1" min="8" max="8" width="43.88"/>
    <col customWidth="1" min="9" max="10" width="8.0"/>
    <col customWidth="1" min="11" max="11" width="6.38"/>
    <col customWidth="1" min="12" max="12" width="18.88"/>
    <col customWidth="1" min="13" max="13" width="43.88"/>
    <col customWidth="1" min="14" max="15" width="8.0"/>
  </cols>
  <sheetData>
    <row r="1" ht="20.25" customHeight="1">
      <c r="A1" s="208" t="s">
        <v>4974</v>
      </c>
      <c r="F1" s="209" t="s">
        <v>4975</v>
      </c>
      <c r="K1" s="210" t="s">
        <v>4976</v>
      </c>
    </row>
    <row r="2" ht="20.25" customHeight="1">
      <c r="A2" s="211" t="s">
        <v>4977</v>
      </c>
      <c r="B2" s="212" t="s">
        <v>4978</v>
      </c>
      <c r="C2" s="213" t="s">
        <v>4979</v>
      </c>
      <c r="D2" s="214" t="s">
        <v>4980</v>
      </c>
      <c r="E2" s="214" t="s">
        <v>1980</v>
      </c>
      <c r="F2" s="215" t="s">
        <v>4977</v>
      </c>
      <c r="G2" s="212" t="s">
        <v>4978</v>
      </c>
      <c r="H2" s="213" t="s">
        <v>4979</v>
      </c>
      <c r="I2" s="214" t="s">
        <v>4980</v>
      </c>
      <c r="J2" s="214" t="s">
        <v>1980</v>
      </c>
      <c r="K2" s="215" t="s">
        <v>4977</v>
      </c>
      <c r="L2" s="212" t="s">
        <v>4978</v>
      </c>
      <c r="M2" s="213" t="s">
        <v>4979</v>
      </c>
      <c r="N2" s="214" t="s">
        <v>4980</v>
      </c>
      <c r="O2" s="214" t="s">
        <v>1980</v>
      </c>
    </row>
    <row r="3" ht="37.5" customHeight="1">
      <c r="A3" s="129"/>
      <c r="B3" s="204" t="s">
        <v>4981</v>
      </c>
      <c r="C3" s="114" t="s">
        <v>4982</v>
      </c>
      <c r="D3" s="14">
        <v>1.0</v>
      </c>
      <c r="E3" s="14" t="s">
        <v>71</v>
      </c>
      <c r="F3" s="216"/>
      <c r="G3" s="11" t="s">
        <v>4983</v>
      </c>
      <c r="H3" s="14" t="s">
        <v>4984</v>
      </c>
      <c r="I3" s="14">
        <v>1.0</v>
      </c>
      <c r="J3" s="14" t="s">
        <v>71</v>
      </c>
      <c r="K3" s="216"/>
      <c r="L3" s="11" t="s">
        <v>4985</v>
      </c>
      <c r="M3" s="14" t="s">
        <v>4986</v>
      </c>
      <c r="N3" s="14">
        <v>1.0</v>
      </c>
      <c r="O3" s="14" t="s">
        <v>71</v>
      </c>
    </row>
    <row r="4" ht="37.5" customHeight="1">
      <c r="A4" s="129"/>
      <c r="B4" s="204" t="s">
        <v>4987</v>
      </c>
      <c r="C4" s="114" t="s">
        <v>4988</v>
      </c>
      <c r="D4" s="14">
        <v>2.0</v>
      </c>
      <c r="E4" s="14" t="s">
        <v>71</v>
      </c>
      <c r="F4" s="216"/>
      <c r="G4" s="11" t="s">
        <v>4989</v>
      </c>
      <c r="H4" s="14" t="s">
        <v>4990</v>
      </c>
      <c r="I4" s="14">
        <v>2.0</v>
      </c>
      <c r="J4" s="14" t="s">
        <v>71</v>
      </c>
      <c r="K4" s="216"/>
      <c r="L4" s="11" t="s">
        <v>4991</v>
      </c>
      <c r="M4" s="14" t="s">
        <v>4992</v>
      </c>
      <c r="N4" s="14">
        <v>2.0</v>
      </c>
      <c r="O4" s="14" t="s">
        <v>71</v>
      </c>
    </row>
    <row r="5" ht="37.5" customHeight="1">
      <c r="A5" s="129"/>
      <c r="B5" s="204" t="s">
        <v>4993</v>
      </c>
      <c r="C5" s="114" t="s">
        <v>4994</v>
      </c>
      <c r="D5" s="14">
        <v>3.0</v>
      </c>
      <c r="E5" s="14" t="s">
        <v>71</v>
      </c>
      <c r="F5" s="216"/>
      <c r="G5" s="11" t="s">
        <v>4995</v>
      </c>
      <c r="H5" s="14" t="s">
        <v>4996</v>
      </c>
      <c r="I5" s="14">
        <v>3.0</v>
      </c>
      <c r="J5" s="14" t="s">
        <v>92</v>
      </c>
      <c r="K5" s="216"/>
      <c r="L5" s="11" t="s">
        <v>4997</v>
      </c>
      <c r="M5" s="114" t="s">
        <v>4998</v>
      </c>
      <c r="N5" s="14">
        <v>3.0</v>
      </c>
      <c r="O5" s="14" t="s">
        <v>92</v>
      </c>
    </row>
    <row r="6" ht="37.5" customHeight="1">
      <c r="A6" s="129"/>
      <c r="B6" s="204" t="s">
        <v>4999</v>
      </c>
      <c r="C6" s="114" t="s">
        <v>5000</v>
      </c>
      <c r="D6" s="14">
        <v>4.0</v>
      </c>
      <c r="E6" s="14" t="s">
        <v>92</v>
      </c>
      <c r="F6" s="216"/>
      <c r="G6" s="11" t="s">
        <v>5001</v>
      </c>
      <c r="H6" s="14" t="s">
        <v>5002</v>
      </c>
      <c r="I6" s="14">
        <v>4.0</v>
      </c>
      <c r="J6" s="14" t="s">
        <v>92</v>
      </c>
      <c r="K6" s="216"/>
      <c r="L6" s="11" t="s">
        <v>5003</v>
      </c>
      <c r="M6" s="14" t="s">
        <v>5004</v>
      </c>
      <c r="N6" s="14">
        <v>4.0</v>
      </c>
      <c r="O6" s="14" t="s">
        <v>92</v>
      </c>
    </row>
    <row r="7" ht="37.5" customHeight="1">
      <c r="A7" s="129"/>
      <c r="B7" s="204" t="s">
        <v>5005</v>
      </c>
      <c r="C7" s="114" t="s">
        <v>4998</v>
      </c>
      <c r="D7" s="14">
        <v>5.0</v>
      </c>
      <c r="E7" s="14" t="s">
        <v>92</v>
      </c>
      <c r="F7" s="217"/>
      <c r="G7" s="11" t="s">
        <v>5006</v>
      </c>
      <c r="H7" s="14" t="s">
        <v>5007</v>
      </c>
      <c r="I7" s="14">
        <v>5.0</v>
      </c>
      <c r="J7" s="14" t="s">
        <v>92</v>
      </c>
      <c r="K7" s="216"/>
      <c r="L7" s="11" t="s">
        <v>5008</v>
      </c>
      <c r="M7" s="14" t="s">
        <v>5009</v>
      </c>
      <c r="N7" s="14">
        <v>5.0</v>
      </c>
      <c r="O7" s="14" t="s">
        <v>92</v>
      </c>
    </row>
    <row r="8" ht="37.5" customHeight="1">
      <c r="A8" s="129"/>
      <c r="B8" s="204" t="s">
        <v>5010</v>
      </c>
      <c r="C8" s="114" t="s">
        <v>5011</v>
      </c>
      <c r="D8" s="14">
        <v>6.0</v>
      </c>
      <c r="E8" s="14" t="s">
        <v>92</v>
      </c>
      <c r="F8" s="216"/>
      <c r="G8" s="11" t="s">
        <v>5012</v>
      </c>
      <c r="H8" s="14" t="s">
        <v>5013</v>
      </c>
      <c r="I8" s="14">
        <v>6.0</v>
      </c>
      <c r="J8" s="14" t="s">
        <v>92</v>
      </c>
      <c r="K8" s="216"/>
      <c r="L8" s="11" t="s">
        <v>5014</v>
      </c>
      <c r="M8" s="14" t="s">
        <v>5015</v>
      </c>
      <c r="N8" s="14">
        <v>6.0</v>
      </c>
      <c r="O8" s="14" t="s">
        <v>92</v>
      </c>
    </row>
    <row r="9" ht="37.5" customHeight="1">
      <c r="A9" s="129"/>
      <c r="B9" s="204" t="s">
        <v>5016</v>
      </c>
      <c r="C9" s="114" t="s">
        <v>5017</v>
      </c>
      <c r="D9" s="14">
        <v>7.0</v>
      </c>
      <c r="E9" s="14" t="s">
        <v>92</v>
      </c>
      <c r="F9" s="216"/>
      <c r="G9" s="11" t="s">
        <v>5018</v>
      </c>
      <c r="H9" s="114" t="s">
        <v>4998</v>
      </c>
      <c r="I9" s="14">
        <v>7.0</v>
      </c>
      <c r="J9" s="14" t="s">
        <v>120</v>
      </c>
      <c r="K9" s="216"/>
      <c r="L9" s="11" t="s">
        <v>5019</v>
      </c>
      <c r="M9" s="14" t="s">
        <v>5020</v>
      </c>
      <c r="N9" s="14">
        <v>7.0</v>
      </c>
      <c r="O9" s="14" t="s">
        <v>92</v>
      </c>
    </row>
    <row r="10" ht="37.5" customHeight="1">
      <c r="A10" s="129"/>
      <c r="B10" s="204" t="s">
        <v>5021</v>
      </c>
      <c r="C10" s="114" t="s">
        <v>5022</v>
      </c>
      <c r="D10" s="14">
        <v>8.0</v>
      </c>
      <c r="E10" s="14" t="s">
        <v>92</v>
      </c>
      <c r="F10" s="216"/>
      <c r="G10" s="11" t="s">
        <v>5023</v>
      </c>
      <c r="H10" s="14" t="s">
        <v>5024</v>
      </c>
      <c r="I10" s="14">
        <v>8.0</v>
      </c>
      <c r="J10" s="14" t="s">
        <v>120</v>
      </c>
      <c r="K10" s="216"/>
      <c r="L10" s="11" t="s">
        <v>5025</v>
      </c>
      <c r="M10" s="14" t="s">
        <v>5026</v>
      </c>
      <c r="N10" s="14">
        <v>8.0</v>
      </c>
      <c r="O10" s="14" t="s">
        <v>92</v>
      </c>
    </row>
    <row r="11" ht="37.5" customHeight="1">
      <c r="A11" s="129"/>
      <c r="B11" s="204" t="s">
        <v>5027</v>
      </c>
      <c r="C11" s="114" t="s">
        <v>5028</v>
      </c>
      <c r="D11" s="14">
        <v>9.0</v>
      </c>
      <c r="E11" s="14" t="s">
        <v>92</v>
      </c>
      <c r="F11" s="216"/>
      <c r="G11" s="11" t="s">
        <v>5029</v>
      </c>
      <c r="H11" s="14" t="s">
        <v>5030</v>
      </c>
      <c r="I11" s="14">
        <v>9.0</v>
      </c>
      <c r="J11" s="14" t="s">
        <v>120</v>
      </c>
      <c r="K11" s="216"/>
      <c r="L11" s="11" t="s">
        <v>5031</v>
      </c>
      <c r="M11" s="14" t="s">
        <v>5032</v>
      </c>
      <c r="N11" s="14">
        <v>9.0</v>
      </c>
      <c r="O11" s="14" t="s">
        <v>120</v>
      </c>
    </row>
    <row r="12" ht="37.5" customHeight="1">
      <c r="A12" s="129"/>
      <c r="B12" s="204" t="s">
        <v>5033</v>
      </c>
      <c r="C12" s="114" t="s">
        <v>5034</v>
      </c>
      <c r="D12" s="14">
        <v>10.0</v>
      </c>
      <c r="E12" s="14" t="s">
        <v>92</v>
      </c>
      <c r="F12" s="216"/>
      <c r="G12" s="11" t="s">
        <v>5035</v>
      </c>
      <c r="H12" s="14" t="s">
        <v>5036</v>
      </c>
      <c r="I12" s="14">
        <v>10.0</v>
      </c>
      <c r="J12" s="14" t="s">
        <v>120</v>
      </c>
      <c r="K12" s="216"/>
      <c r="L12" s="11" t="s">
        <v>5037</v>
      </c>
      <c r="M12" s="14" t="s">
        <v>5038</v>
      </c>
      <c r="N12" s="14">
        <v>10.0</v>
      </c>
      <c r="O12" s="14" t="s">
        <v>120</v>
      </c>
    </row>
    <row r="13" ht="37.5" customHeight="1">
      <c r="A13" s="129"/>
      <c r="B13" s="204" t="s">
        <v>5039</v>
      </c>
      <c r="C13" s="114" t="s">
        <v>5040</v>
      </c>
      <c r="D13" s="14">
        <v>11.0</v>
      </c>
      <c r="E13" s="14" t="s">
        <v>92</v>
      </c>
      <c r="F13" s="216"/>
      <c r="G13" s="11" t="s">
        <v>5041</v>
      </c>
      <c r="H13" s="14" t="s">
        <v>5042</v>
      </c>
      <c r="I13" s="14">
        <v>11.0</v>
      </c>
      <c r="J13" s="14" t="s">
        <v>120</v>
      </c>
      <c r="K13" s="216"/>
      <c r="L13" s="11" t="s">
        <v>5043</v>
      </c>
      <c r="M13" s="14" t="s">
        <v>5044</v>
      </c>
      <c r="N13" s="14">
        <v>11.0</v>
      </c>
      <c r="O13" s="14" t="s">
        <v>120</v>
      </c>
    </row>
    <row r="14" ht="37.5" customHeight="1">
      <c r="A14" s="129"/>
      <c r="B14" s="204" t="s">
        <v>5045</v>
      </c>
      <c r="C14" s="114" t="s">
        <v>5046</v>
      </c>
      <c r="D14" s="14">
        <v>12.0</v>
      </c>
      <c r="E14" s="14" t="s">
        <v>92</v>
      </c>
      <c r="F14" s="216"/>
      <c r="G14" s="11" t="s">
        <v>5047</v>
      </c>
      <c r="H14" s="14" t="s">
        <v>5048</v>
      </c>
      <c r="I14" s="14">
        <v>12.0</v>
      </c>
      <c r="J14" s="14" t="s">
        <v>120</v>
      </c>
      <c r="K14" s="216"/>
      <c r="L14" s="11" t="s">
        <v>5049</v>
      </c>
      <c r="M14" s="14" t="s">
        <v>5050</v>
      </c>
      <c r="N14" s="14">
        <v>12.0</v>
      </c>
      <c r="O14" s="14" t="s">
        <v>120</v>
      </c>
    </row>
    <row r="15" ht="37.5" customHeight="1">
      <c r="A15" s="129"/>
      <c r="B15" s="204" t="s">
        <v>5051</v>
      </c>
      <c r="C15" s="114" t="s">
        <v>5052</v>
      </c>
      <c r="D15" s="14">
        <v>13.0</v>
      </c>
      <c r="E15" s="14" t="s">
        <v>120</v>
      </c>
      <c r="F15" s="216"/>
      <c r="G15" s="11" t="s">
        <v>5053</v>
      </c>
      <c r="H15" s="14" t="s">
        <v>5054</v>
      </c>
      <c r="I15" s="14">
        <v>13.0</v>
      </c>
      <c r="J15" s="14" t="s">
        <v>120</v>
      </c>
      <c r="K15" s="216"/>
      <c r="L15" s="11" t="s">
        <v>5055</v>
      </c>
      <c r="M15" s="14" t="s">
        <v>5056</v>
      </c>
      <c r="N15" s="14">
        <v>13.0</v>
      </c>
      <c r="O15" s="14" t="s">
        <v>120</v>
      </c>
    </row>
    <row r="16" ht="37.5" customHeight="1">
      <c r="A16" s="129"/>
      <c r="B16" s="204" t="s">
        <v>5057</v>
      </c>
      <c r="C16" s="114" t="s">
        <v>5058</v>
      </c>
      <c r="D16" s="14">
        <v>14.0</v>
      </c>
      <c r="E16" s="14" t="s">
        <v>120</v>
      </c>
      <c r="F16" s="216"/>
      <c r="G16" s="11" t="s">
        <v>5059</v>
      </c>
      <c r="H16" s="14" t="s">
        <v>5060</v>
      </c>
      <c r="I16" s="14">
        <v>14.0</v>
      </c>
      <c r="J16" s="14" t="s">
        <v>120</v>
      </c>
      <c r="K16" s="216"/>
      <c r="L16" s="11" t="s">
        <v>5061</v>
      </c>
      <c r="M16" s="14" t="s">
        <v>5062</v>
      </c>
      <c r="N16" s="14">
        <v>14.0</v>
      </c>
      <c r="O16" s="14" t="s">
        <v>120</v>
      </c>
    </row>
    <row r="17" ht="37.5" customHeight="1">
      <c r="A17" s="129"/>
      <c r="B17" s="204" t="s">
        <v>5063</v>
      </c>
      <c r="C17" s="114" t="s">
        <v>5064</v>
      </c>
      <c r="D17" s="14">
        <v>15.0</v>
      </c>
      <c r="E17" s="14" t="s">
        <v>120</v>
      </c>
      <c r="F17" s="216"/>
      <c r="G17" s="11" t="s">
        <v>5065</v>
      </c>
      <c r="H17" s="14" t="s">
        <v>5066</v>
      </c>
      <c r="I17" s="14">
        <v>15.0</v>
      </c>
      <c r="J17" s="14" t="s">
        <v>120</v>
      </c>
      <c r="K17" s="216"/>
      <c r="L17" s="11" t="s">
        <v>5067</v>
      </c>
      <c r="M17" s="14" t="s">
        <v>5068</v>
      </c>
      <c r="N17" s="14">
        <v>15.0</v>
      </c>
      <c r="O17" s="14" t="s">
        <v>120</v>
      </c>
    </row>
    <row r="18" ht="37.5" customHeight="1">
      <c r="A18" s="129"/>
      <c r="B18" s="204" t="s">
        <v>5069</v>
      </c>
      <c r="C18" s="114" t="s">
        <v>5070</v>
      </c>
      <c r="D18" s="14">
        <v>16.0</v>
      </c>
      <c r="E18" s="14" t="s">
        <v>120</v>
      </c>
      <c r="F18" s="216"/>
      <c r="G18" s="11" t="s">
        <v>5071</v>
      </c>
      <c r="H18" s="14" t="s">
        <v>5072</v>
      </c>
      <c r="I18" s="14">
        <v>16.0</v>
      </c>
      <c r="J18" s="14" t="s">
        <v>120</v>
      </c>
      <c r="K18" s="216"/>
      <c r="L18" s="11" t="s">
        <v>5073</v>
      </c>
      <c r="M18" s="14" t="s">
        <v>5074</v>
      </c>
      <c r="N18" s="14">
        <v>16.0</v>
      </c>
      <c r="O18" s="14" t="s">
        <v>120</v>
      </c>
    </row>
    <row r="19" ht="37.5" customHeight="1">
      <c r="A19" s="129"/>
      <c r="B19" s="204" t="s">
        <v>5075</v>
      </c>
      <c r="C19" s="114" t="s">
        <v>5076</v>
      </c>
      <c r="D19" s="14">
        <v>17.0</v>
      </c>
      <c r="E19" s="14" t="s">
        <v>120</v>
      </c>
      <c r="F19" s="216"/>
      <c r="G19" s="11" t="s">
        <v>5077</v>
      </c>
      <c r="H19" s="14" t="s">
        <v>5078</v>
      </c>
      <c r="I19" s="14">
        <v>17.0</v>
      </c>
      <c r="J19" s="14" t="s">
        <v>120</v>
      </c>
      <c r="K19" s="216"/>
      <c r="L19" s="11" t="s">
        <v>5079</v>
      </c>
      <c r="M19" s="14" t="s">
        <v>5080</v>
      </c>
      <c r="N19" s="14">
        <v>17.0</v>
      </c>
      <c r="O19" s="14" t="s">
        <v>120</v>
      </c>
    </row>
    <row r="20" ht="37.5" customHeight="1">
      <c r="A20" s="129"/>
      <c r="B20" s="204" t="s">
        <v>5081</v>
      </c>
      <c r="C20" s="114" t="s">
        <v>5082</v>
      </c>
      <c r="D20" s="14">
        <v>18.0</v>
      </c>
      <c r="E20" s="14" t="s">
        <v>120</v>
      </c>
      <c r="F20" s="216"/>
      <c r="G20" s="11" t="s">
        <v>5083</v>
      </c>
      <c r="H20" s="14" t="s">
        <v>5084</v>
      </c>
      <c r="I20" s="14">
        <v>18.0</v>
      </c>
      <c r="J20" s="14" t="s">
        <v>120</v>
      </c>
      <c r="K20" s="216"/>
      <c r="L20" s="11" t="s">
        <v>5085</v>
      </c>
      <c r="M20" s="14" t="s">
        <v>5086</v>
      </c>
      <c r="N20" s="14">
        <v>18.0</v>
      </c>
      <c r="O20" s="14" t="s">
        <v>120</v>
      </c>
    </row>
    <row r="21" ht="37.5" customHeight="1">
      <c r="A21" s="129"/>
      <c r="B21" s="204" t="s">
        <v>5087</v>
      </c>
      <c r="C21" s="114" t="s">
        <v>5088</v>
      </c>
      <c r="D21" s="14">
        <v>19.0</v>
      </c>
      <c r="E21" s="14" t="s">
        <v>120</v>
      </c>
      <c r="F21" s="216"/>
      <c r="G21" s="11" t="s">
        <v>5089</v>
      </c>
      <c r="H21" s="14" t="s">
        <v>5090</v>
      </c>
      <c r="I21" s="14">
        <v>19.0</v>
      </c>
      <c r="J21" s="14" t="s">
        <v>120</v>
      </c>
      <c r="K21" s="216"/>
      <c r="L21" s="11" t="s">
        <v>5091</v>
      </c>
      <c r="M21" s="14" t="s">
        <v>5092</v>
      </c>
      <c r="N21" s="14">
        <v>19.0</v>
      </c>
      <c r="O21" s="14" t="s">
        <v>136</v>
      </c>
    </row>
    <row r="22" ht="37.5" customHeight="1">
      <c r="A22" s="129"/>
      <c r="B22" s="204" t="s">
        <v>5093</v>
      </c>
      <c r="C22" s="114" t="s">
        <v>5094</v>
      </c>
      <c r="D22" s="14">
        <v>20.0</v>
      </c>
      <c r="E22" s="14" t="s">
        <v>120</v>
      </c>
      <c r="F22" s="216"/>
      <c r="G22" s="11" t="s">
        <v>5095</v>
      </c>
      <c r="H22" s="14" t="s">
        <v>5096</v>
      </c>
      <c r="I22" s="14">
        <v>20.0</v>
      </c>
      <c r="J22" s="14" t="s">
        <v>136</v>
      </c>
      <c r="K22" s="216"/>
      <c r="L22" s="11" t="s">
        <v>5097</v>
      </c>
      <c r="M22" s="14" t="s">
        <v>5098</v>
      </c>
      <c r="N22" s="14">
        <v>20.0</v>
      </c>
      <c r="O22" s="14" t="s">
        <v>136</v>
      </c>
    </row>
    <row r="23" ht="37.5" customHeight="1">
      <c r="A23" s="129"/>
      <c r="B23" s="204" t="s">
        <v>5099</v>
      </c>
      <c r="C23" s="114" t="s">
        <v>5100</v>
      </c>
      <c r="D23" s="14">
        <v>21.0</v>
      </c>
      <c r="E23" s="14" t="s">
        <v>136</v>
      </c>
      <c r="F23" s="216"/>
      <c r="G23" s="11" t="s">
        <v>5101</v>
      </c>
      <c r="H23" s="114" t="s">
        <v>5088</v>
      </c>
      <c r="I23" s="14">
        <v>21.0</v>
      </c>
      <c r="J23" s="14" t="s">
        <v>136</v>
      </c>
      <c r="K23" s="216"/>
      <c r="L23" s="11" t="s">
        <v>5102</v>
      </c>
      <c r="M23" s="14" t="s">
        <v>5103</v>
      </c>
      <c r="N23" s="14">
        <v>21.0</v>
      </c>
      <c r="O23" s="14" t="s">
        <v>136</v>
      </c>
    </row>
    <row r="24" ht="37.5" customHeight="1">
      <c r="A24" s="129"/>
      <c r="B24" s="204" t="s">
        <v>5104</v>
      </c>
      <c r="C24" s="114" t="s">
        <v>5105</v>
      </c>
      <c r="D24" s="14">
        <v>22.0</v>
      </c>
      <c r="E24" s="14" t="s">
        <v>136</v>
      </c>
      <c r="F24" s="216"/>
      <c r="G24" s="11" t="s">
        <v>5106</v>
      </c>
      <c r="H24" s="14" t="s">
        <v>5107</v>
      </c>
      <c r="I24" s="14">
        <v>22.0</v>
      </c>
      <c r="J24" s="14" t="s">
        <v>136</v>
      </c>
      <c r="K24" s="216"/>
      <c r="L24" s="11" t="s">
        <v>5108</v>
      </c>
      <c r="M24" s="14" t="s">
        <v>5109</v>
      </c>
      <c r="N24" s="14">
        <v>22.0</v>
      </c>
      <c r="O24" s="14" t="s">
        <v>136</v>
      </c>
    </row>
    <row r="25" ht="37.5" customHeight="1">
      <c r="A25" s="129"/>
      <c r="B25" s="204" t="s">
        <v>5110</v>
      </c>
      <c r="C25" s="114" t="s">
        <v>5111</v>
      </c>
      <c r="D25" s="14">
        <v>23.0</v>
      </c>
      <c r="E25" s="14" t="s">
        <v>136</v>
      </c>
      <c r="F25" s="216"/>
      <c r="G25" s="11" t="s">
        <v>5112</v>
      </c>
      <c r="H25" s="14" t="s">
        <v>5113</v>
      </c>
      <c r="I25" s="14">
        <v>23.0</v>
      </c>
      <c r="J25" s="14" t="s">
        <v>136</v>
      </c>
      <c r="K25" s="216"/>
      <c r="L25" s="11" t="s">
        <v>5114</v>
      </c>
      <c r="M25" s="14" t="s">
        <v>5115</v>
      </c>
      <c r="N25" s="14">
        <v>23.0</v>
      </c>
      <c r="O25" s="14" t="s">
        <v>136</v>
      </c>
    </row>
    <row r="26" ht="37.5" customHeight="1">
      <c r="A26" s="129"/>
      <c r="B26" s="204" t="s">
        <v>5116</v>
      </c>
      <c r="C26" s="114" t="s">
        <v>5117</v>
      </c>
      <c r="D26" s="14">
        <v>24.0</v>
      </c>
      <c r="E26" s="14" t="s">
        <v>136</v>
      </c>
      <c r="F26" s="216"/>
      <c r="G26" s="11" t="s">
        <v>5118</v>
      </c>
      <c r="H26" s="14" t="s">
        <v>5119</v>
      </c>
      <c r="I26" s="14">
        <v>24.0</v>
      </c>
      <c r="J26" s="14" t="s">
        <v>136</v>
      </c>
      <c r="K26" s="216"/>
      <c r="L26" s="11" t="s">
        <v>5120</v>
      </c>
      <c r="M26" s="14" t="s">
        <v>5121</v>
      </c>
      <c r="N26" s="14">
        <v>24.0</v>
      </c>
      <c r="O26" s="14" t="s">
        <v>136</v>
      </c>
    </row>
    <row r="27" ht="37.5" customHeight="1">
      <c r="A27" s="129"/>
      <c r="B27" s="204" t="s">
        <v>5122</v>
      </c>
      <c r="C27" s="114" t="s">
        <v>5123</v>
      </c>
      <c r="D27" s="14">
        <v>25.0</v>
      </c>
      <c r="E27" s="14" t="s">
        <v>136</v>
      </c>
      <c r="F27" s="216"/>
      <c r="G27" s="11" t="s">
        <v>5124</v>
      </c>
      <c r="H27" s="14" t="s">
        <v>5125</v>
      </c>
      <c r="I27" s="14">
        <v>25.0</v>
      </c>
      <c r="J27" s="14" t="s">
        <v>136</v>
      </c>
      <c r="K27" s="216"/>
      <c r="L27" s="11" t="s">
        <v>5126</v>
      </c>
      <c r="M27" s="14" t="s">
        <v>5127</v>
      </c>
      <c r="N27" s="14">
        <v>25.0</v>
      </c>
      <c r="O27" s="14" t="s">
        <v>167</v>
      </c>
    </row>
    <row r="28" ht="37.5" customHeight="1">
      <c r="A28" s="129"/>
      <c r="B28" s="204" t="s">
        <v>5128</v>
      </c>
      <c r="C28" s="114" t="s">
        <v>5129</v>
      </c>
      <c r="D28" s="14">
        <v>26.0</v>
      </c>
      <c r="E28" s="14" t="s">
        <v>136</v>
      </c>
      <c r="F28" s="216"/>
      <c r="G28" s="11" t="s">
        <v>5130</v>
      </c>
      <c r="H28" s="14" t="s">
        <v>5131</v>
      </c>
      <c r="I28" s="14">
        <v>26.0</v>
      </c>
      <c r="J28" s="14" t="s">
        <v>136</v>
      </c>
      <c r="K28" s="216"/>
      <c r="L28" s="11" t="s">
        <v>5132</v>
      </c>
      <c r="M28" s="14" t="s">
        <v>5133</v>
      </c>
      <c r="N28" s="14">
        <v>26.0</v>
      </c>
      <c r="O28" s="14" t="s">
        <v>167</v>
      </c>
    </row>
    <row r="29" ht="37.5" customHeight="1">
      <c r="A29" s="129"/>
      <c r="B29" s="204" t="s">
        <v>5134</v>
      </c>
      <c r="C29" s="114" t="s">
        <v>5135</v>
      </c>
      <c r="D29" s="14">
        <v>27.0</v>
      </c>
      <c r="E29" s="14" t="s">
        <v>136</v>
      </c>
      <c r="F29" s="216"/>
      <c r="G29" s="11" t="s">
        <v>5136</v>
      </c>
      <c r="H29" s="14" t="s">
        <v>5137</v>
      </c>
      <c r="I29" s="14">
        <v>27.0</v>
      </c>
      <c r="J29" s="14" t="s">
        <v>167</v>
      </c>
      <c r="K29" s="216"/>
      <c r="L29" s="11" t="s">
        <v>5138</v>
      </c>
      <c r="M29" s="14" t="s">
        <v>5139</v>
      </c>
      <c r="N29" s="14">
        <v>27.0</v>
      </c>
      <c r="O29" s="14" t="s">
        <v>167</v>
      </c>
    </row>
    <row r="30" ht="37.5" customHeight="1">
      <c r="A30" s="129"/>
      <c r="B30" s="204" t="s">
        <v>5140</v>
      </c>
      <c r="C30" s="114" t="s">
        <v>5141</v>
      </c>
      <c r="D30" s="14">
        <v>28.0</v>
      </c>
      <c r="E30" s="14" t="s">
        <v>136</v>
      </c>
      <c r="F30" s="216"/>
      <c r="G30" s="11" t="s">
        <v>5142</v>
      </c>
      <c r="H30" s="14" t="s">
        <v>5143</v>
      </c>
      <c r="I30" s="14">
        <v>28.0</v>
      </c>
      <c r="J30" s="14" t="s">
        <v>167</v>
      </c>
      <c r="K30" s="216"/>
      <c r="L30" s="11" t="s">
        <v>5144</v>
      </c>
      <c r="M30" s="14" t="s">
        <v>5145</v>
      </c>
      <c r="N30" s="14">
        <v>28.0</v>
      </c>
      <c r="O30" s="14" t="s">
        <v>167</v>
      </c>
    </row>
    <row r="31" ht="37.5" customHeight="1">
      <c r="A31" s="129"/>
      <c r="B31" s="204" t="s">
        <v>5146</v>
      </c>
      <c r="C31" s="114" t="s">
        <v>5147</v>
      </c>
      <c r="D31" s="14">
        <v>29.0</v>
      </c>
      <c r="E31" s="14" t="s">
        <v>136</v>
      </c>
      <c r="F31" s="216"/>
      <c r="G31" s="11" t="s">
        <v>5148</v>
      </c>
      <c r="H31" s="14" t="s">
        <v>5149</v>
      </c>
      <c r="I31" s="14">
        <v>29.0</v>
      </c>
      <c r="J31" s="14" t="s">
        <v>167</v>
      </c>
      <c r="K31" s="216"/>
      <c r="L31" s="11" t="s">
        <v>5150</v>
      </c>
      <c r="M31" s="14" t="s">
        <v>5151</v>
      </c>
      <c r="N31" s="14">
        <v>29.0</v>
      </c>
      <c r="O31" s="14" t="s">
        <v>167</v>
      </c>
    </row>
    <row r="32" ht="37.5" customHeight="1">
      <c r="A32" s="129"/>
      <c r="B32" s="204" t="s">
        <v>5152</v>
      </c>
      <c r="C32" s="114" t="s">
        <v>5153</v>
      </c>
      <c r="D32" s="14">
        <v>30.0</v>
      </c>
      <c r="E32" s="14" t="s">
        <v>167</v>
      </c>
      <c r="F32" s="216"/>
      <c r="G32" s="11" t="s">
        <v>5154</v>
      </c>
      <c r="H32" s="14" t="s">
        <v>5155</v>
      </c>
      <c r="I32" s="14">
        <v>30.0</v>
      </c>
      <c r="J32" s="14" t="s">
        <v>167</v>
      </c>
      <c r="K32" s="216"/>
      <c r="L32" s="11" t="s">
        <v>5156</v>
      </c>
      <c r="M32" s="14" t="s">
        <v>5157</v>
      </c>
      <c r="N32" s="14">
        <v>30.0</v>
      </c>
      <c r="O32" s="14" t="s">
        <v>167</v>
      </c>
    </row>
    <row r="33" ht="37.5" customHeight="1">
      <c r="A33" s="129"/>
      <c r="B33" s="204" t="s">
        <v>5158</v>
      </c>
      <c r="C33" s="114" t="s">
        <v>5159</v>
      </c>
      <c r="D33" s="14">
        <v>31.0</v>
      </c>
      <c r="E33" s="14" t="s">
        <v>167</v>
      </c>
      <c r="F33" s="216"/>
      <c r="G33" s="11" t="s">
        <v>5160</v>
      </c>
      <c r="H33" s="14" t="s">
        <v>5161</v>
      </c>
      <c r="I33" s="14">
        <v>31.0</v>
      </c>
      <c r="J33" s="14" t="s">
        <v>167</v>
      </c>
      <c r="K33" s="216"/>
      <c r="L33" s="11" t="s">
        <v>5162</v>
      </c>
      <c r="M33" s="14" t="s">
        <v>5163</v>
      </c>
      <c r="N33" s="14">
        <v>31.0</v>
      </c>
      <c r="O33" s="14" t="s">
        <v>167</v>
      </c>
    </row>
    <row r="34" ht="37.5" customHeight="1">
      <c r="A34" s="129"/>
      <c r="B34" s="204" t="s">
        <v>5164</v>
      </c>
      <c r="C34" s="114" t="s">
        <v>5165</v>
      </c>
      <c r="D34" s="14">
        <v>32.0</v>
      </c>
      <c r="E34" s="14" t="s">
        <v>167</v>
      </c>
      <c r="F34" s="216"/>
      <c r="G34" s="11" t="s">
        <v>5166</v>
      </c>
      <c r="H34" s="14" t="s">
        <v>5167</v>
      </c>
      <c r="I34" s="14">
        <v>32.0</v>
      </c>
      <c r="J34" s="14" t="s">
        <v>167</v>
      </c>
      <c r="K34" s="216"/>
      <c r="L34" s="11" t="s">
        <v>5168</v>
      </c>
      <c r="M34" s="14" t="s">
        <v>5169</v>
      </c>
      <c r="N34" s="14">
        <v>32.0</v>
      </c>
      <c r="O34" s="14" t="s">
        <v>167</v>
      </c>
    </row>
    <row r="35" ht="37.5" customHeight="1">
      <c r="A35" s="129"/>
      <c r="B35" s="204" t="s">
        <v>5170</v>
      </c>
      <c r="C35" s="114" t="s">
        <v>5171</v>
      </c>
      <c r="D35" s="14">
        <v>33.0</v>
      </c>
      <c r="E35" s="14" t="s">
        <v>167</v>
      </c>
      <c r="F35" s="216"/>
      <c r="G35" s="11" t="s">
        <v>5172</v>
      </c>
      <c r="H35" s="14" t="s">
        <v>5173</v>
      </c>
      <c r="I35" s="14">
        <v>33.0</v>
      </c>
      <c r="J35" s="14" t="s">
        <v>167</v>
      </c>
      <c r="K35" s="216"/>
      <c r="L35" s="11" t="s">
        <v>5174</v>
      </c>
      <c r="M35" s="14" t="s">
        <v>5175</v>
      </c>
      <c r="N35" s="14">
        <v>33.0</v>
      </c>
      <c r="O35" s="14" t="s">
        <v>167</v>
      </c>
    </row>
    <row r="36" ht="37.5" customHeight="1">
      <c r="A36" s="129"/>
      <c r="B36" s="204" t="s">
        <v>5176</v>
      </c>
      <c r="C36" s="114" t="s">
        <v>5177</v>
      </c>
      <c r="D36" s="14">
        <v>34.0</v>
      </c>
      <c r="E36" s="14" t="s">
        <v>167</v>
      </c>
      <c r="F36" s="216"/>
      <c r="G36" s="11" t="s">
        <v>5178</v>
      </c>
      <c r="H36" s="14" t="s">
        <v>5179</v>
      </c>
      <c r="I36" s="14">
        <v>34.0</v>
      </c>
      <c r="J36" s="14" t="s">
        <v>447</v>
      </c>
      <c r="K36" s="216"/>
      <c r="L36" s="11" t="s">
        <v>5180</v>
      </c>
      <c r="M36" s="14" t="s">
        <v>5181</v>
      </c>
      <c r="N36" s="14">
        <v>34.0</v>
      </c>
      <c r="O36" s="14" t="s">
        <v>447</v>
      </c>
    </row>
    <row r="37" ht="37.5" customHeight="1">
      <c r="A37" s="129"/>
      <c r="B37" s="204" t="s">
        <v>5182</v>
      </c>
      <c r="C37" s="114" t="s">
        <v>5183</v>
      </c>
      <c r="D37" s="14">
        <v>35.0</v>
      </c>
      <c r="E37" s="14" t="s">
        <v>167</v>
      </c>
      <c r="F37" s="216"/>
      <c r="G37" s="11" t="s">
        <v>5184</v>
      </c>
      <c r="H37" s="14" t="s">
        <v>5185</v>
      </c>
      <c r="I37" s="14">
        <v>35.0</v>
      </c>
      <c r="J37" s="14" t="s">
        <v>447</v>
      </c>
      <c r="K37" s="216"/>
      <c r="L37" s="11" t="s">
        <v>5186</v>
      </c>
      <c r="M37" s="14" t="s">
        <v>5187</v>
      </c>
      <c r="N37" s="14">
        <v>35.0</v>
      </c>
      <c r="O37" s="14" t="s">
        <v>447</v>
      </c>
    </row>
    <row r="38" ht="37.5" customHeight="1">
      <c r="A38" s="129"/>
      <c r="B38" s="204" t="s">
        <v>5188</v>
      </c>
      <c r="C38" s="114" t="s">
        <v>5189</v>
      </c>
      <c r="D38" s="14">
        <v>36.0</v>
      </c>
      <c r="E38" s="14" t="s">
        <v>167</v>
      </c>
      <c r="F38" s="216"/>
      <c r="G38" s="11" t="s">
        <v>5190</v>
      </c>
      <c r="H38" s="14" t="s">
        <v>5191</v>
      </c>
      <c r="I38" s="14">
        <v>36.0</v>
      </c>
      <c r="J38" s="14" t="s">
        <v>447</v>
      </c>
      <c r="K38" s="216"/>
      <c r="L38" s="11" t="s">
        <v>5192</v>
      </c>
      <c r="M38" s="14" t="s">
        <v>5193</v>
      </c>
      <c r="N38" s="14">
        <v>36.0</v>
      </c>
      <c r="O38" s="14" t="s">
        <v>447</v>
      </c>
    </row>
    <row r="39" ht="37.5" customHeight="1">
      <c r="A39" s="129"/>
      <c r="B39" s="204" t="s">
        <v>5194</v>
      </c>
      <c r="C39" s="114" t="s">
        <v>5195</v>
      </c>
      <c r="D39" s="14">
        <v>37.0</v>
      </c>
      <c r="E39" s="14" t="s">
        <v>447</v>
      </c>
      <c r="F39" s="216"/>
      <c r="G39" s="11" t="s">
        <v>5196</v>
      </c>
      <c r="H39" s="14" t="s">
        <v>5197</v>
      </c>
      <c r="I39" s="14">
        <v>37.0</v>
      </c>
      <c r="J39" s="14" t="s">
        <v>447</v>
      </c>
      <c r="K39" s="216"/>
      <c r="L39" s="11" t="s">
        <v>5198</v>
      </c>
      <c r="M39" s="14" t="s">
        <v>5199</v>
      </c>
      <c r="N39" s="14">
        <v>37.0</v>
      </c>
      <c r="O39" s="14" t="s">
        <v>447</v>
      </c>
    </row>
    <row r="40" ht="37.5" customHeight="1">
      <c r="A40" s="129"/>
      <c r="B40" s="204" t="s">
        <v>5200</v>
      </c>
      <c r="C40" s="114" t="s">
        <v>5201</v>
      </c>
      <c r="D40" s="14">
        <v>38.0</v>
      </c>
      <c r="E40" s="14" t="s">
        <v>447</v>
      </c>
      <c r="F40" s="216"/>
      <c r="G40" s="11" t="s">
        <v>5202</v>
      </c>
      <c r="H40" s="14" t="s">
        <v>5203</v>
      </c>
      <c r="I40" s="14">
        <v>38.0</v>
      </c>
      <c r="J40" s="14" t="s">
        <v>447</v>
      </c>
      <c r="K40" s="216"/>
      <c r="L40" s="11" t="s">
        <v>5204</v>
      </c>
      <c r="M40" s="14" t="s">
        <v>5205</v>
      </c>
      <c r="N40" s="14">
        <v>38.0</v>
      </c>
      <c r="O40" s="14" t="s">
        <v>447</v>
      </c>
    </row>
    <row r="41" ht="37.5" customHeight="1">
      <c r="A41" s="129"/>
      <c r="B41" s="204" t="s">
        <v>5206</v>
      </c>
      <c r="C41" s="114" t="s">
        <v>5207</v>
      </c>
      <c r="D41" s="14">
        <v>39.0</v>
      </c>
      <c r="E41" s="14" t="s">
        <v>447</v>
      </c>
      <c r="F41" s="216"/>
      <c r="G41" s="11" t="s">
        <v>5208</v>
      </c>
      <c r="H41" s="14" t="s">
        <v>5209</v>
      </c>
      <c r="I41" s="14">
        <v>39.0</v>
      </c>
      <c r="J41" s="14" t="s">
        <v>447</v>
      </c>
      <c r="K41" s="216"/>
      <c r="L41" s="11" t="s">
        <v>5210</v>
      </c>
      <c r="M41" s="14" t="s">
        <v>5211</v>
      </c>
      <c r="N41" s="14">
        <v>39.0</v>
      </c>
      <c r="O41" s="14" t="s">
        <v>447</v>
      </c>
    </row>
    <row r="42" ht="37.5" customHeight="1">
      <c r="A42" s="129"/>
      <c r="B42" s="204" t="s">
        <v>5212</v>
      </c>
      <c r="C42" s="114" t="s">
        <v>5213</v>
      </c>
      <c r="D42" s="14">
        <v>40.0</v>
      </c>
      <c r="E42" s="14" t="s">
        <v>447</v>
      </c>
      <c r="F42" s="216"/>
      <c r="G42" s="11" t="s">
        <v>5214</v>
      </c>
      <c r="H42" s="14" t="s">
        <v>5215</v>
      </c>
      <c r="I42" s="14">
        <v>40.0</v>
      </c>
      <c r="J42" s="14" t="s">
        <v>447</v>
      </c>
      <c r="K42" s="216"/>
      <c r="L42" s="11" t="s">
        <v>5216</v>
      </c>
      <c r="M42" s="14" t="s">
        <v>5217</v>
      </c>
      <c r="N42" s="14">
        <v>40.0</v>
      </c>
      <c r="O42" s="14" t="s">
        <v>447</v>
      </c>
    </row>
    <row r="43" ht="37.5" customHeight="1">
      <c r="A43" s="129"/>
      <c r="B43" s="204" t="s">
        <v>5218</v>
      </c>
      <c r="C43" s="114" t="s">
        <v>5219</v>
      </c>
      <c r="D43" s="14">
        <v>41.0</v>
      </c>
      <c r="E43" s="14" t="s">
        <v>447</v>
      </c>
      <c r="F43" s="216"/>
      <c r="G43" s="11" t="s">
        <v>5220</v>
      </c>
      <c r="H43" s="14" t="s">
        <v>5221</v>
      </c>
      <c r="I43" s="14">
        <v>41.0</v>
      </c>
      <c r="J43" s="14" t="s">
        <v>447</v>
      </c>
      <c r="K43" s="216"/>
      <c r="L43" s="11" t="s">
        <v>5222</v>
      </c>
      <c r="M43" s="14" t="s">
        <v>5223</v>
      </c>
      <c r="N43" s="14">
        <v>41.0</v>
      </c>
      <c r="O43" s="14" t="s">
        <v>447</v>
      </c>
    </row>
  </sheetData>
  <autoFilter ref="$A$2:$O$43">
    <sortState ref="A2:O43">
      <sortCondition ref="I2:I43"/>
      <sortCondition ref="N2:N43"/>
      <sortCondition ref="D2:D43"/>
      <sortCondition ref="L2:L43"/>
    </sortState>
  </autoFilter>
  <mergeCells count="3">
    <mergeCell ref="A1:E1"/>
    <mergeCell ref="F1:J1"/>
    <mergeCell ref="K1:O1"/>
  </mergeCells>
  <conditionalFormatting sqref="D3:O43">
    <cfRule type="cellIs" dxfId="5" priority="1" operator="equal">
      <formula>"S"</formula>
    </cfRule>
  </conditionalFormatting>
  <conditionalFormatting sqref="D3:O43">
    <cfRule type="cellIs" dxfId="6" priority="2" operator="equal">
      <formula>"B"</formula>
    </cfRule>
  </conditionalFormatting>
  <conditionalFormatting sqref="D3:O43">
    <cfRule type="cellIs" dxfId="7" priority="3" operator="equal">
      <formula>"D"</formula>
    </cfRule>
  </conditionalFormatting>
  <conditionalFormatting sqref="D3:O43">
    <cfRule type="cellIs" dxfId="8" priority="4" operator="equal">
      <formula>"C"</formula>
    </cfRule>
  </conditionalFormatting>
  <conditionalFormatting sqref="D3:O43">
    <cfRule type="cellIs" dxfId="9" priority="5" operator="equal">
      <formula>"A"</formula>
    </cfRule>
  </conditionalFormatting>
  <conditionalFormatting sqref="D3:D43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O43">
    <cfRule type="cellIs" dxfId="27" priority="7" operator="equal">
      <formula>"F"</formula>
    </cfRule>
  </conditionalFormatting>
  <conditionalFormatting sqref="I3:I43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N3:N43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8.88"/>
    <col customWidth="1" min="3" max="3" width="43.88"/>
    <col customWidth="1" min="4" max="11" width="6.38"/>
  </cols>
  <sheetData>
    <row r="1" ht="20.25" customHeight="1">
      <c r="A1" s="218" t="s">
        <v>4977</v>
      </c>
      <c r="B1" s="219" t="s">
        <v>4978</v>
      </c>
      <c r="C1" s="220" t="s">
        <v>4979</v>
      </c>
      <c r="D1" s="221" t="s">
        <v>5224</v>
      </c>
      <c r="E1" s="222" t="s">
        <v>2398</v>
      </c>
      <c r="F1" s="223" t="s">
        <v>5225</v>
      </c>
      <c r="G1" s="223" t="s">
        <v>5226</v>
      </c>
      <c r="H1" s="223" t="s">
        <v>5227</v>
      </c>
      <c r="I1" s="223" t="s">
        <v>6</v>
      </c>
      <c r="J1" s="224" t="s">
        <v>5228</v>
      </c>
      <c r="K1" s="225" t="s">
        <v>1980</v>
      </c>
    </row>
    <row r="2" ht="37.5" customHeight="1">
      <c r="A2" s="14"/>
      <c r="B2" s="11" t="s">
        <v>4997</v>
      </c>
      <c r="C2" s="114" t="s">
        <v>5229</v>
      </c>
      <c r="D2" s="11" t="s">
        <v>911</v>
      </c>
      <c r="E2" s="11" t="s">
        <v>71</v>
      </c>
      <c r="F2" s="14"/>
      <c r="G2" s="14"/>
      <c r="H2" s="14"/>
      <c r="I2" s="14"/>
      <c r="J2" s="226"/>
      <c r="K2" s="227"/>
    </row>
    <row r="3" ht="37.5" customHeight="1">
      <c r="A3" s="14"/>
      <c r="B3" s="11" t="s">
        <v>4985</v>
      </c>
      <c r="C3" s="14" t="s">
        <v>4986</v>
      </c>
      <c r="D3" s="11" t="s">
        <v>911</v>
      </c>
      <c r="E3" s="11" t="s">
        <v>5230</v>
      </c>
      <c r="F3" s="14"/>
      <c r="G3" s="14"/>
      <c r="H3" s="14"/>
      <c r="I3" s="14"/>
      <c r="J3" s="226"/>
      <c r="K3" s="227"/>
    </row>
    <row r="4" ht="37.5" customHeight="1">
      <c r="A4" s="14"/>
      <c r="B4" s="11" t="s">
        <v>5067</v>
      </c>
      <c r="C4" s="14" t="s">
        <v>5068</v>
      </c>
      <c r="D4" s="11" t="s">
        <v>911</v>
      </c>
      <c r="E4" s="11" t="s">
        <v>5230</v>
      </c>
      <c r="F4" s="14"/>
      <c r="G4" s="14"/>
      <c r="H4" s="14"/>
      <c r="I4" s="14"/>
      <c r="J4" s="226"/>
      <c r="K4" s="227"/>
    </row>
    <row r="5" ht="37.5" customHeight="1">
      <c r="A5" s="14"/>
      <c r="B5" s="11" t="s">
        <v>5037</v>
      </c>
      <c r="C5" s="14" t="s">
        <v>5038</v>
      </c>
      <c r="D5" s="11" t="s">
        <v>911</v>
      </c>
      <c r="E5" s="11" t="s">
        <v>71</v>
      </c>
      <c r="F5" s="14"/>
      <c r="G5" s="14"/>
      <c r="H5" s="14"/>
      <c r="I5" s="14"/>
      <c r="J5" s="226"/>
      <c r="K5" s="227"/>
    </row>
    <row r="6" ht="37.5" customHeight="1">
      <c r="A6" s="14"/>
      <c r="B6" s="11" t="s">
        <v>5073</v>
      </c>
      <c r="C6" s="14" t="s">
        <v>5074</v>
      </c>
      <c r="D6" s="11" t="s">
        <v>911</v>
      </c>
      <c r="E6" s="11" t="s">
        <v>5230</v>
      </c>
      <c r="F6" s="14"/>
      <c r="G6" s="14"/>
      <c r="H6" s="14"/>
      <c r="I6" s="14"/>
      <c r="J6" s="226"/>
      <c r="K6" s="227"/>
    </row>
    <row r="7" ht="37.5" customHeight="1">
      <c r="A7" s="14"/>
      <c r="B7" s="11" t="s">
        <v>5019</v>
      </c>
      <c r="C7" s="14" t="s">
        <v>5231</v>
      </c>
      <c r="D7" s="11" t="s">
        <v>911</v>
      </c>
      <c r="E7" s="11" t="s">
        <v>911</v>
      </c>
      <c r="F7" s="14"/>
      <c r="G7" s="14"/>
      <c r="H7" s="14"/>
      <c r="I7" s="14"/>
      <c r="J7" s="226"/>
      <c r="K7" s="227"/>
    </row>
    <row r="8" ht="37.5" customHeight="1">
      <c r="A8" s="14"/>
      <c r="B8" s="11" t="s">
        <v>5120</v>
      </c>
      <c r="C8" s="14" t="s">
        <v>5121</v>
      </c>
      <c r="D8" s="11" t="s">
        <v>911</v>
      </c>
      <c r="E8" s="11" t="s">
        <v>5230</v>
      </c>
      <c r="F8" s="14"/>
      <c r="G8" s="14"/>
      <c r="H8" s="14"/>
      <c r="I8" s="14"/>
      <c r="J8" s="226"/>
      <c r="K8" s="227"/>
    </row>
    <row r="9" ht="37.5" customHeight="1">
      <c r="A9" s="14"/>
      <c r="B9" s="11" t="s">
        <v>5008</v>
      </c>
      <c r="C9" s="14" t="s">
        <v>5009</v>
      </c>
      <c r="D9" s="11" t="s">
        <v>911</v>
      </c>
      <c r="E9" s="11" t="s">
        <v>911</v>
      </c>
      <c r="F9" s="14"/>
      <c r="G9" s="14"/>
      <c r="H9" s="14"/>
      <c r="I9" s="14"/>
      <c r="J9" s="226"/>
      <c r="K9" s="227"/>
    </row>
    <row r="10" ht="37.5" customHeight="1">
      <c r="A10" s="14"/>
      <c r="B10" s="11" t="s">
        <v>5144</v>
      </c>
      <c r="C10" s="14" t="s">
        <v>5145</v>
      </c>
      <c r="D10" s="11" t="s">
        <v>911</v>
      </c>
      <c r="E10" s="11" t="s">
        <v>5230</v>
      </c>
      <c r="F10" s="14"/>
      <c r="G10" s="14"/>
      <c r="H10" s="14"/>
      <c r="I10" s="14"/>
      <c r="J10" s="226"/>
      <c r="K10" s="227"/>
    </row>
    <row r="11" ht="37.5" customHeight="1">
      <c r="A11" s="14"/>
      <c r="B11" s="11" t="s">
        <v>5198</v>
      </c>
      <c r="C11" s="14" t="s">
        <v>5199</v>
      </c>
      <c r="D11" s="11" t="s">
        <v>911</v>
      </c>
      <c r="E11" s="11" t="s">
        <v>5230</v>
      </c>
      <c r="F11" s="14"/>
      <c r="G11" s="14"/>
      <c r="H11" s="14"/>
      <c r="I11" s="14"/>
      <c r="J11" s="226"/>
      <c r="K11" s="227"/>
    </row>
    <row r="12" ht="37.5" customHeight="1">
      <c r="A12" s="14"/>
      <c r="B12" s="11" t="s">
        <v>5079</v>
      </c>
      <c r="C12" s="14" t="s">
        <v>5080</v>
      </c>
      <c r="D12" s="11" t="s">
        <v>911</v>
      </c>
      <c r="E12" s="11" t="s">
        <v>5230</v>
      </c>
      <c r="F12" s="14"/>
      <c r="G12" s="14"/>
      <c r="H12" s="14"/>
      <c r="I12" s="14"/>
      <c r="J12" s="226"/>
      <c r="K12" s="227"/>
    </row>
    <row r="13" ht="37.5" customHeight="1">
      <c r="A13" s="14"/>
      <c r="B13" s="11" t="s">
        <v>5222</v>
      </c>
      <c r="C13" s="14" t="s">
        <v>5223</v>
      </c>
      <c r="D13" s="11" t="s">
        <v>911</v>
      </c>
      <c r="E13" s="11" t="s">
        <v>71</v>
      </c>
      <c r="F13" s="14"/>
      <c r="G13" s="14"/>
      <c r="H13" s="14"/>
      <c r="I13" s="14"/>
      <c r="J13" s="14"/>
      <c r="K13" s="227"/>
    </row>
    <row r="14" ht="37.5" customHeight="1">
      <c r="A14" s="14"/>
      <c r="B14" s="11" t="s">
        <v>5014</v>
      </c>
      <c r="C14" s="14" t="s">
        <v>5015</v>
      </c>
      <c r="D14" s="11" t="s">
        <v>911</v>
      </c>
      <c r="E14" s="11" t="s">
        <v>5230</v>
      </c>
      <c r="F14" s="14"/>
      <c r="G14" s="14"/>
      <c r="H14" s="14"/>
      <c r="I14" s="14"/>
      <c r="J14" s="226"/>
      <c r="K14" s="227"/>
    </row>
    <row r="15" ht="37.5" customHeight="1">
      <c r="A15" s="14"/>
      <c r="B15" s="11" t="s">
        <v>5192</v>
      </c>
      <c r="C15" s="14" t="s">
        <v>5193</v>
      </c>
      <c r="D15" s="11" t="s">
        <v>911</v>
      </c>
      <c r="E15" s="11" t="s">
        <v>5230</v>
      </c>
      <c r="F15" s="14"/>
      <c r="G15" s="14"/>
      <c r="H15" s="14"/>
      <c r="I15" s="14"/>
      <c r="J15" s="14"/>
      <c r="K15" s="227"/>
    </row>
    <row r="16" ht="37.5" customHeight="1">
      <c r="A16" s="14"/>
      <c r="B16" s="11" t="s">
        <v>5031</v>
      </c>
      <c r="C16" s="14" t="s">
        <v>5032</v>
      </c>
      <c r="D16" s="11" t="s">
        <v>911</v>
      </c>
      <c r="E16" s="11" t="s">
        <v>71</v>
      </c>
      <c r="F16" s="14"/>
      <c r="G16" s="14"/>
      <c r="H16" s="14"/>
      <c r="I16" s="14"/>
      <c r="J16" s="226"/>
      <c r="K16" s="227"/>
    </row>
    <row r="17" ht="37.5" customHeight="1">
      <c r="A17" s="14"/>
      <c r="B17" s="11" t="s">
        <v>5091</v>
      </c>
      <c r="C17" s="14" t="s">
        <v>5092</v>
      </c>
      <c r="D17" s="11" t="s">
        <v>911</v>
      </c>
      <c r="E17" s="11" t="s">
        <v>5230</v>
      </c>
      <c r="F17" s="14"/>
      <c r="G17" s="14"/>
      <c r="H17" s="14"/>
      <c r="I17" s="14"/>
      <c r="J17" s="226"/>
      <c r="K17" s="227"/>
    </row>
    <row r="18" ht="37.5" customHeight="1">
      <c r="A18" s="14"/>
      <c r="B18" s="11" t="s">
        <v>5043</v>
      </c>
      <c r="C18" s="14" t="s">
        <v>5044</v>
      </c>
      <c r="D18" s="11" t="s">
        <v>911</v>
      </c>
      <c r="E18" s="11" t="s">
        <v>911</v>
      </c>
      <c r="F18" s="14"/>
      <c r="G18" s="14"/>
      <c r="H18" s="14"/>
      <c r="I18" s="14"/>
      <c r="J18" s="226"/>
      <c r="K18" s="227"/>
    </row>
    <row r="19" ht="37.5" customHeight="1">
      <c r="A19" s="14"/>
      <c r="B19" s="11" t="s">
        <v>5180</v>
      </c>
      <c r="C19" s="14" t="s">
        <v>5181</v>
      </c>
      <c r="D19" s="11" t="s">
        <v>911</v>
      </c>
      <c r="E19" s="11" t="s">
        <v>5230</v>
      </c>
      <c r="F19" s="14"/>
      <c r="G19" s="14"/>
      <c r="H19" s="14"/>
      <c r="I19" s="14"/>
      <c r="J19" s="226"/>
      <c r="K19" s="227"/>
    </row>
    <row r="20" ht="37.5" customHeight="1">
      <c r="A20" s="14"/>
      <c r="B20" s="11" t="s">
        <v>5097</v>
      </c>
      <c r="C20" s="14" t="s">
        <v>5098</v>
      </c>
      <c r="D20" s="11" t="s">
        <v>911</v>
      </c>
      <c r="E20" s="11" t="s">
        <v>5230</v>
      </c>
      <c r="F20" s="14"/>
      <c r="G20" s="14"/>
      <c r="H20" s="14"/>
      <c r="I20" s="14"/>
      <c r="J20" s="14"/>
      <c r="K20" s="227"/>
    </row>
    <row r="21" ht="37.5" customHeight="1">
      <c r="A21" s="14"/>
      <c r="B21" s="11" t="s">
        <v>5168</v>
      </c>
      <c r="C21" s="14" t="s">
        <v>5169</v>
      </c>
      <c r="D21" s="11" t="s">
        <v>911</v>
      </c>
      <c r="E21" s="11" t="s">
        <v>911</v>
      </c>
      <c r="F21" s="14"/>
      <c r="G21" s="14"/>
      <c r="H21" s="14"/>
      <c r="I21" s="14"/>
      <c r="J21" s="226"/>
      <c r="K21" s="227"/>
    </row>
    <row r="22" ht="37.5" customHeight="1">
      <c r="A22" s="14"/>
      <c r="B22" s="11" t="s">
        <v>5216</v>
      </c>
      <c r="C22" s="14" t="s">
        <v>5217</v>
      </c>
      <c r="D22" s="11" t="s">
        <v>911</v>
      </c>
      <c r="E22" s="11" t="s">
        <v>5230</v>
      </c>
      <c r="F22" s="14"/>
      <c r="G22" s="14"/>
      <c r="H22" s="14"/>
      <c r="I22" s="14"/>
      <c r="J22" s="226"/>
      <c r="K22" s="227"/>
    </row>
    <row r="23" ht="37.5" customHeight="1">
      <c r="A23" s="14"/>
      <c r="B23" s="11" t="s">
        <v>5108</v>
      </c>
      <c r="C23" s="14" t="s">
        <v>5109</v>
      </c>
      <c r="D23" s="11" t="s">
        <v>911</v>
      </c>
      <c r="E23" s="11" t="s">
        <v>5230</v>
      </c>
      <c r="F23" s="14"/>
      <c r="G23" s="14"/>
      <c r="H23" s="14"/>
      <c r="I23" s="14"/>
      <c r="J23" s="226"/>
      <c r="K23" s="227"/>
    </row>
    <row r="24" ht="37.5" customHeight="1">
      <c r="A24" s="14"/>
      <c r="B24" s="11" t="s">
        <v>5055</v>
      </c>
      <c r="C24" s="14" t="s">
        <v>5056</v>
      </c>
      <c r="D24" s="11" t="s">
        <v>911</v>
      </c>
      <c r="E24" s="11" t="s">
        <v>5230</v>
      </c>
      <c r="F24" s="14"/>
      <c r="G24" s="14"/>
      <c r="H24" s="14"/>
      <c r="I24" s="14"/>
      <c r="J24" s="226"/>
      <c r="K24" s="227"/>
    </row>
    <row r="25" ht="37.5" customHeight="1">
      <c r="A25" s="14"/>
      <c r="B25" s="11" t="s">
        <v>5138</v>
      </c>
      <c r="C25" s="14" t="s">
        <v>5232</v>
      </c>
      <c r="D25" s="11" t="s">
        <v>911</v>
      </c>
      <c r="E25" s="11" t="s">
        <v>5230</v>
      </c>
      <c r="F25" s="14"/>
      <c r="G25" s="14"/>
      <c r="H25" s="14"/>
      <c r="I25" s="14"/>
      <c r="J25" s="226"/>
      <c r="K25" s="227"/>
    </row>
    <row r="26" ht="37.5" customHeight="1">
      <c r="A26" s="14"/>
      <c r="B26" s="11" t="s">
        <v>5061</v>
      </c>
      <c r="C26" s="14" t="s">
        <v>5062</v>
      </c>
      <c r="D26" s="11" t="s">
        <v>911</v>
      </c>
      <c r="E26" s="11" t="s">
        <v>5230</v>
      </c>
      <c r="F26" s="14"/>
      <c r="G26" s="14"/>
      <c r="H26" s="14"/>
      <c r="I26" s="14"/>
      <c r="J26" s="226"/>
      <c r="K26" s="227"/>
    </row>
    <row r="27" ht="37.5" customHeight="1">
      <c r="A27" s="14"/>
      <c r="B27" s="11" t="s">
        <v>5003</v>
      </c>
      <c r="C27" s="14" t="s">
        <v>5004</v>
      </c>
      <c r="D27" s="11" t="s">
        <v>911</v>
      </c>
      <c r="E27" s="11" t="s">
        <v>911</v>
      </c>
      <c r="F27" s="14"/>
      <c r="G27" s="14"/>
      <c r="H27" s="14"/>
      <c r="I27" s="14"/>
      <c r="J27" s="226"/>
      <c r="K27" s="227"/>
    </row>
    <row r="28" ht="37.5" customHeight="1">
      <c r="A28" s="14"/>
      <c r="B28" s="11" t="s">
        <v>5162</v>
      </c>
      <c r="C28" s="14" t="s">
        <v>5163</v>
      </c>
      <c r="D28" s="11" t="s">
        <v>911</v>
      </c>
      <c r="E28" s="11" t="s">
        <v>71</v>
      </c>
      <c r="F28" s="14"/>
      <c r="G28" s="14"/>
      <c r="H28" s="14"/>
      <c r="I28" s="14"/>
      <c r="J28" s="226"/>
      <c r="K28" s="227"/>
    </row>
    <row r="29" ht="37.5" customHeight="1">
      <c r="A29" s="14"/>
      <c r="B29" s="11" t="s">
        <v>5150</v>
      </c>
      <c r="C29" s="14" t="s">
        <v>5151</v>
      </c>
      <c r="D29" s="11" t="s">
        <v>911</v>
      </c>
      <c r="E29" s="11" t="s">
        <v>71</v>
      </c>
      <c r="F29" s="14"/>
      <c r="G29" s="14"/>
      <c r="H29" s="14"/>
      <c r="I29" s="14"/>
      <c r="J29" s="226"/>
      <c r="K29" s="227"/>
    </row>
    <row r="30" ht="37.5" customHeight="1">
      <c r="A30" s="14"/>
      <c r="B30" s="11" t="s">
        <v>5049</v>
      </c>
      <c r="C30" s="14" t="s">
        <v>5050</v>
      </c>
      <c r="D30" s="11" t="s">
        <v>911</v>
      </c>
      <c r="E30" s="11" t="s">
        <v>5230</v>
      </c>
      <c r="F30" s="14"/>
      <c r="G30" s="14"/>
      <c r="H30" s="14"/>
      <c r="I30" s="14"/>
      <c r="J30" s="226"/>
      <c r="K30" s="227"/>
    </row>
    <row r="31" ht="37.5" customHeight="1">
      <c r="A31" s="14"/>
      <c r="B31" s="11" t="s">
        <v>5210</v>
      </c>
      <c r="C31" s="14" t="s">
        <v>5211</v>
      </c>
      <c r="D31" s="11" t="s">
        <v>911</v>
      </c>
      <c r="E31" s="11" t="s">
        <v>71</v>
      </c>
      <c r="F31" s="14"/>
      <c r="G31" s="14"/>
      <c r="H31" s="14"/>
      <c r="I31" s="14"/>
      <c r="J31" s="226"/>
      <c r="K31" s="227"/>
    </row>
    <row r="32" ht="37.5" customHeight="1">
      <c r="A32" s="14"/>
      <c r="B32" s="11" t="s">
        <v>5114</v>
      </c>
      <c r="C32" s="14" t="s">
        <v>5233</v>
      </c>
      <c r="D32" s="11" t="s">
        <v>911</v>
      </c>
      <c r="E32" s="11" t="s">
        <v>911</v>
      </c>
      <c r="F32" s="14"/>
      <c r="G32" s="14"/>
      <c r="H32" s="14"/>
      <c r="I32" s="14"/>
      <c r="J32" s="226"/>
      <c r="K32" s="227"/>
    </row>
    <row r="33" ht="37.5" customHeight="1">
      <c r="A33" s="14"/>
      <c r="B33" s="11" t="s">
        <v>5174</v>
      </c>
      <c r="C33" s="14" t="s">
        <v>5175</v>
      </c>
      <c r="D33" s="11" t="s">
        <v>911</v>
      </c>
      <c r="E33" s="11" t="s">
        <v>5230</v>
      </c>
      <c r="F33" s="14"/>
      <c r="G33" s="14"/>
      <c r="H33" s="14"/>
      <c r="I33" s="14"/>
      <c r="J33" s="226"/>
      <c r="K33" s="227"/>
    </row>
    <row r="34" ht="37.5" customHeight="1">
      <c r="A34" s="14"/>
      <c r="B34" s="11" t="s">
        <v>5102</v>
      </c>
      <c r="C34" s="14" t="s">
        <v>5103</v>
      </c>
      <c r="D34" s="11" t="s">
        <v>911</v>
      </c>
      <c r="E34" s="11" t="s">
        <v>71</v>
      </c>
      <c r="F34" s="14"/>
      <c r="G34" s="14"/>
      <c r="H34" s="14"/>
      <c r="I34" s="14"/>
      <c r="J34" s="226"/>
      <c r="K34" s="227"/>
    </row>
    <row r="35" ht="37.5" customHeight="1">
      <c r="A35" s="14"/>
      <c r="B35" s="11" t="s">
        <v>5025</v>
      </c>
      <c r="C35" s="14" t="s">
        <v>5026</v>
      </c>
      <c r="D35" s="11" t="s">
        <v>911</v>
      </c>
      <c r="E35" s="11" t="s">
        <v>5234</v>
      </c>
      <c r="F35" s="14"/>
      <c r="G35" s="14"/>
      <c r="H35" s="14"/>
      <c r="I35" s="14"/>
      <c r="J35" s="14"/>
      <c r="K35" s="227"/>
    </row>
    <row r="36" ht="37.5" customHeight="1">
      <c r="A36" s="14"/>
      <c r="B36" s="11" t="s">
        <v>4991</v>
      </c>
      <c r="C36" s="14" t="s">
        <v>4992</v>
      </c>
      <c r="D36" s="11" t="s">
        <v>911</v>
      </c>
      <c r="E36" s="11" t="s">
        <v>911</v>
      </c>
      <c r="F36" s="14"/>
      <c r="G36" s="14"/>
      <c r="H36" s="14"/>
      <c r="I36" s="14"/>
      <c r="J36" s="226"/>
      <c r="K36" s="227"/>
    </row>
    <row r="37" ht="37.5" customHeight="1">
      <c r="A37" s="14"/>
      <c r="B37" s="11" t="s">
        <v>5186</v>
      </c>
      <c r="C37" s="14" t="s">
        <v>5187</v>
      </c>
      <c r="D37" s="11" t="s">
        <v>911</v>
      </c>
      <c r="E37" s="11" t="s">
        <v>5230</v>
      </c>
      <c r="F37" s="14"/>
      <c r="G37" s="14"/>
      <c r="H37" s="14"/>
      <c r="I37" s="14"/>
      <c r="J37" s="226"/>
      <c r="K37" s="227"/>
    </row>
    <row r="38" ht="37.5" customHeight="1">
      <c r="A38" s="14"/>
      <c r="B38" s="11" t="s">
        <v>5085</v>
      </c>
      <c r="C38" s="14" t="s">
        <v>5086</v>
      </c>
      <c r="D38" s="11" t="s">
        <v>911</v>
      </c>
      <c r="E38" s="11" t="s">
        <v>71</v>
      </c>
      <c r="F38" s="14"/>
      <c r="G38" s="14"/>
      <c r="H38" s="14"/>
      <c r="I38" s="14"/>
      <c r="J38" s="226"/>
      <c r="K38" s="227"/>
    </row>
    <row r="39" ht="37.5" customHeight="1">
      <c r="A39" s="14"/>
      <c r="B39" s="11" t="s">
        <v>5126</v>
      </c>
      <c r="C39" s="14" t="s">
        <v>5127</v>
      </c>
      <c r="D39" s="11" t="s">
        <v>911</v>
      </c>
      <c r="E39" s="11" t="s">
        <v>911</v>
      </c>
      <c r="F39" s="14"/>
      <c r="G39" s="14"/>
      <c r="H39" s="14"/>
      <c r="I39" s="14"/>
      <c r="J39" s="226"/>
      <c r="K39" s="227"/>
    </row>
    <row r="40" ht="37.5" customHeight="1">
      <c r="A40" s="14"/>
      <c r="B40" s="11" t="s">
        <v>5156</v>
      </c>
      <c r="C40" s="14" t="s">
        <v>5235</v>
      </c>
      <c r="D40" s="11" t="s">
        <v>911</v>
      </c>
      <c r="E40" s="11" t="s">
        <v>5230</v>
      </c>
      <c r="F40" s="14"/>
      <c r="G40" s="14"/>
      <c r="H40" s="14"/>
      <c r="I40" s="14"/>
      <c r="J40" s="226"/>
      <c r="K40" s="227"/>
    </row>
    <row r="41" ht="37.5" customHeight="1">
      <c r="A41" s="14"/>
      <c r="B41" s="11" t="s">
        <v>5204</v>
      </c>
      <c r="C41" s="14" t="s">
        <v>5205</v>
      </c>
      <c r="D41" s="11" t="s">
        <v>911</v>
      </c>
      <c r="E41" s="11" t="s">
        <v>5230</v>
      </c>
      <c r="F41" s="14"/>
      <c r="G41" s="14"/>
      <c r="H41" s="14"/>
      <c r="I41" s="14"/>
      <c r="J41" s="226"/>
      <c r="K41" s="227"/>
    </row>
    <row r="42" ht="37.5" customHeight="1">
      <c r="A42" s="14"/>
      <c r="B42" s="11" t="s">
        <v>5132</v>
      </c>
      <c r="C42" s="14" t="s">
        <v>5133</v>
      </c>
      <c r="D42" s="11" t="s">
        <v>911</v>
      </c>
      <c r="E42" s="11" t="s">
        <v>5230</v>
      </c>
      <c r="F42" s="14"/>
      <c r="G42" s="14"/>
      <c r="H42" s="14"/>
      <c r="I42" s="14"/>
      <c r="J42" s="226"/>
      <c r="K42" s="227"/>
    </row>
    <row r="43" ht="37.5" customHeight="1">
      <c r="A43" s="129"/>
      <c r="B43" s="204" t="s">
        <v>5093</v>
      </c>
      <c r="C43" s="114" t="s">
        <v>5094</v>
      </c>
      <c r="D43" s="204" t="s">
        <v>5236</v>
      </c>
      <c r="E43" s="204" t="s">
        <v>5230</v>
      </c>
      <c r="F43" s="14"/>
      <c r="G43" s="14"/>
      <c r="H43" s="14"/>
      <c r="I43" s="14"/>
      <c r="J43" s="226"/>
      <c r="K43" s="227"/>
    </row>
    <row r="44" ht="37.5" customHeight="1">
      <c r="A44" s="129"/>
      <c r="B44" s="204" t="s">
        <v>5104</v>
      </c>
      <c r="C44" s="114" t="s">
        <v>5105</v>
      </c>
      <c r="D44" s="204" t="s">
        <v>5236</v>
      </c>
      <c r="E44" s="204" t="s">
        <v>5230</v>
      </c>
      <c r="F44" s="14"/>
      <c r="G44" s="14"/>
      <c r="H44" s="14"/>
      <c r="I44" s="14"/>
      <c r="J44" s="226"/>
      <c r="K44" s="227"/>
    </row>
    <row r="45" ht="37.5" customHeight="1">
      <c r="A45" s="129"/>
      <c r="B45" s="204" t="s">
        <v>5164</v>
      </c>
      <c r="C45" s="114" t="s">
        <v>5165</v>
      </c>
      <c r="D45" s="204" t="s">
        <v>5236</v>
      </c>
      <c r="E45" s="204" t="s">
        <v>5230</v>
      </c>
      <c r="F45" s="14"/>
      <c r="G45" s="14"/>
      <c r="H45" s="14"/>
      <c r="I45" s="14"/>
      <c r="J45" s="226"/>
      <c r="K45" s="227"/>
    </row>
    <row r="46" ht="37.5" customHeight="1">
      <c r="A46" s="129"/>
      <c r="B46" s="204" t="s">
        <v>5005</v>
      </c>
      <c r="C46" s="114" t="s">
        <v>5229</v>
      </c>
      <c r="D46" s="204" t="s">
        <v>5236</v>
      </c>
      <c r="E46" s="204" t="s">
        <v>71</v>
      </c>
      <c r="F46" s="14"/>
      <c r="G46" s="14"/>
      <c r="H46" s="14"/>
      <c r="I46" s="14"/>
      <c r="J46" s="226"/>
      <c r="K46" s="227"/>
    </row>
    <row r="47" ht="37.5" customHeight="1">
      <c r="A47" s="129"/>
      <c r="B47" s="204" t="s">
        <v>5033</v>
      </c>
      <c r="C47" s="114" t="s">
        <v>5034</v>
      </c>
      <c r="D47" s="204" t="s">
        <v>5236</v>
      </c>
      <c r="E47" s="204" t="s">
        <v>5230</v>
      </c>
      <c r="F47" s="14"/>
      <c r="G47" s="14"/>
      <c r="H47" s="14"/>
      <c r="I47" s="14"/>
      <c r="J47" s="226"/>
      <c r="K47" s="227"/>
    </row>
    <row r="48" ht="37.5" customHeight="1">
      <c r="A48" s="129"/>
      <c r="B48" s="204" t="s">
        <v>5206</v>
      </c>
      <c r="C48" s="114" t="s">
        <v>5207</v>
      </c>
      <c r="D48" s="204" t="s">
        <v>5236</v>
      </c>
      <c r="E48" s="204" t="s">
        <v>5230</v>
      </c>
      <c r="F48" s="14"/>
      <c r="G48" s="14"/>
      <c r="H48" s="14"/>
      <c r="I48" s="14"/>
      <c r="J48" s="226"/>
      <c r="K48" s="227"/>
    </row>
    <row r="49" ht="37.5" customHeight="1">
      <c r="A49" s="129"/>
      <c r="B49" s="204" t="s">
        <v>5200</v>
      </c>
      <c r="C49" s="114" t="s">
        <v>5201</v>
      </c>
      <c r="D49" s="204" t="s">
        <v>5236</v>
      </c>
      <c r="E49" s="204" t="s">
        <v>5230</v>
      </c>
      <c r="F49" s="14"/>
      <c r="G49" s="14"/>
      <c r="H49" s="14"/>
      <c r="I49" s="14"/>
      <c r="J49" s="226"/>
      <c r="K49" s="227"/>
    </row>
    <row r="50" ht="37.5" customHeight="1">
      <c r="A50" s="129"/>
      <c r="B50" s="204" t="s">
        <v>5016</v>
      </c>
      <c r="C50" s="114" t="s">
        <v>5017</v>
      </c>
      <c r="D50" s="204" t="s">
        <v>5236</v>
      </c>
      <c r="E50" s="204" t="s">
        <v>5230</v>
      </c>
      <c r="F50" s="14"/>
      <c r="G50" s="14"/>
      <c r="H50" s="14"/>
      <c r="I50" s="14"/>
      <c r="J50" s="226"/>
      <c r="K50" s="227"/>
    </row>
    <row r="51" ht="37.5" customHeight="1">
      <c r="A51" s="129"/>
      <c r="B51" s="204" t="s">
        <v>5010</v>
      </c>
      <c r="C51" s="114" t="s">
        <v>5011</v>
      </c>
      <c r="D51" s="204" t="s">
        <v>5236</v>
      </c>
      <c r="E51" s="204" t="s">
        <v>5230</v>
      </c>
      <c r="F51" s="14"/>
      <c r="G51" s="14"/>
      <c r="H51" s="14"/>
      <c r="I51" s="14"/>
      <c r="J51" s="226"/>
      <c r="K51" s="227"/>
    </row>
    <row r="52" ht="37.5" customHeight="1">
      <c r="A52" s="129"/>
      <c r="B52" s="204" t="s">
        <v>5140</v>
      </c>
      <c r="C52" s="114" t="s">
        <v>5141</v>
      </c>
      <c r="D52" s="204" t="s">
        <v>5236</v>
      </c>
      <c r="E52" s="204" t="s">
        <v>5230</v>
      </c>
      <c r="F52" s="14"/>
      <c r="G52" s="14"/>
      <c r="H52" s="14"/>
      <c r="I52" s="14"/>
      <c r="J52" s="226"/>
      <c r="K52" s="227"/>
    </row>
    <row r="53" ht="37.5" customHeight="1">
      <c r="A53" s="129"/>
      <c r="B53" s="204" t="s">
        <v>5218</v>
      </c>
      <c r="C53" s="114" t="s">
        <v>5219</v>
      </c>
      <c r="D53" s="204" t="s">
        <v>5236</v>
      </c>
      <c r="E53" s="204" t="s">
        <v>5230</v>
      </c>
      <c r="F53" s="14"/>
      <c r="G53" s="14"/>
      <c r="H53" s="14"/>
      <c r="I53" s="14"/>
      <c r="J53" s="226"/>
      <c r="K53" s="227"/>
    </row>
    <row r="54" ht="37.5" customHeight="1">
      <c r="A54" s="129"/>
      <c r="B54" s="204" t="s">
        <v>5158</v>
      </c>
      <c r="C54" s="114" t="s">
        <v>5159</v>
      </c>
      <c r="D54" s="204" t="s">
        <v>5236</v>
      </c>
      <c r="E54" s="11" t="s">
        <v>911</v>
      </c>
      <c r="F54" s="14"/>
      <c r="G54" s="14"/>
      <c r="H54" s="14"/>
      <c r="I54" s="14"/>
      <c r="J54" s="226"/>
      <c r="K54" s="227"/>
    </row>
    <row r="55" ht="37.5" customHeight="1">
      <c r="A55" s="129"/>
      <c r="B55" s="204" t="s">
        <v>4999</v>
      </c>
      <c r="C55" s="114" t="s">
        <v>5000</v>
      </c>
      <c r="D55" s="204" t="s">
        <v>5236</v>
      </c>
      <c r="E55" s="204" t="s">
        <v>71</v>
      </c>
      <c r="F55" s="14"/>
      <c r="G55" s="14"/>
      <c r="H55" s="14"/>
      <c r="I55" s="14"/>
      <c r="J55" s="226"/>
      <c r="K55" s="227"/>
    </row>
    <row r="56" ht="37.5" customHeight="1">
      <c r="A56" s="129"/>
      <c r="B56" s="204" t="s">
        <v>5057</v>
      </c>
      <c r="C56" s="114" t="s">
        <v>5058</v>
      </c>
      <c r="D56" s="204" t="s">
        <v>5236</v>
      </c>
      <c r="E56" s="204" t="s">
        <v>5230</v>
      </c>
      <c r="F56" s="14"/>
      <c r="G56" s="14"/>
      <c r="H56" s="14"/>
      <c r="I56" s="14"/>
      <c r="J56" s="226"/>
      <c r="K56" s="227"/>
    </row>
    <row r="57" ht="37.5" customHeight="1">
      <c r="A57" s="129"/>
      <c r="B57" s="204" t="s">
        <v>5128</v>
      </c>
      <c r="C57" s="114" t="s">
        <v>5129</v>
      </c>
      <c r="D57" s="204" t="s">
        <v>5236</v>
      </c>
      <c r="E57" s="204" t="s">
        <v>5230</v>
      </c>
      <c r="F57" s="14"/>
      <c r="G57" s="14"/>
      <c r="H57" s="14"/>
      <c r="I57" s="14"/>
      <c r="J57" s="226"/>
      <c r="K57" s="227"/>
    </row>
    <row r="58" ht="37.5" customHeight="1">
      <c r="A58" s="129"/>
      <c r="B58" s="204" t="s">
        <v>5063</v>
      </c>
      <c r="C58" s="114" t="s">
        <v>5064</v>
      </c>
      <c r="D58" s="204" t="s">
        <v>5236</v>
      </c>
      <c r="E58" s="11" t="s">
        <v>911</v>
      </c>
      <c r="F58" s="14"/>
      <c r="G58" s="14"/>
      <c r="H58" s="14"/>
      <c r="I58" s="14"/>
      <c r="J58" s="226"/>
      <c r="K58" s="227"/>
    </row>
    <row r="59" ht="37.5" customHeight="1">
      <c r="A59" s="129"/>
      <c r="B59" s="204" t="s">
        <v>5027</v>
      </c>
      <c r="C59" s="114" t="s">
        <v>5028</v>
      </c>
      <c r="D59" s="204" t="s">
        <v>5236</v>
      </c>
      <c r="E59" s="204" t="s">
        <v>5230</v>
      </c>
      <c r="F59" s="14"/>
      <c r="G59" s="14"/>
      <c r="H59" s="14"/>
      <c r="I59" s="14"/>
      <c r="J59" s="226"/>
      <c r="K59" s="227"/>
    </row>
    <row r="60" ht="37.5" customHeight="1">
      <c r="A60" s="129"/>
      <c r="B60" s="204" t="s">
        <v>4987</v>
      </c>
      <c r="C60" s="114" t="s">
        <v>4988</v>
      </c>
      <c r="D60" s="204" t="s">
        <v>5236</v>
      </c>
      <c r="E60" s="204" t="s">
        <v>5230</v>
      </c>
      <c r="F60" s="14"/>
      <c r="G60" s="14"/>
      <c r="H60" s="14"/>
      <c r="I60" s="14"/>
      <c r="J60" s="226"/>
      <c r="K60" s="227"/>
    </row>
    <row r="61" ht="37.5" customHeight="1">
      <c r="A61" s="129"/>
      <c r="B61" s="204" t="s">
        <v>5099</v>
      </c>
      <c r="C61" s="114" t="s">
        <v>5100</v>
      </c>
      <c r="D61" s="204" t="s">
        <v>5236</v>
      </c>
      <c r="E61" s="204" t="s">
        <v>71</v>
      </c>
      <c r="F61" s="14"/>
      <c r="G61" s="14"/>
      <c r="H61" s="14"/>
      <c r="I61" s="14"/>
      <c r="J61" s="226"/>
      <c r="K61" s="227"/>
    </row>
    <row r="62" ht="37.5" customHeight="1">
      <c r="A62" s="129"/>
      <c r="B62" s="204" t="s">
        <v>5146</v>
      </c>
      <c r="C62" s="114" t="s">
        <v>5147</v>
      </c>
      <c r="D62" s="204" t="s">
        <v>5236</v>
      </c>
      <c r="E62" s="204" t="s">
        <v>5230</v>
      </c>
      <c r="F62" s="14"/>
      <c r="G62" s="14"/>
      <c r="H62" s="14"/>
      <c r="I62" s="14"/>
      <c r="J62" s="226"/>
      <c r="K62" s="227"/>
    </row>
    <row r="63" ht="37.5" customHeight="1">
      <c r="A63" s="129"/>
      <c r="B63" s="204" t="s">
        <v>5069</v>
      </c>
      <c r="C63" s="114" t="s">
        <v>5070</v>
      </c>
      <c r="D63" s="204" t="s">
        <v>5236</v>
      </c>
      <c r="E63" s="204" t="s">
        <v>5230</v>
      </c>
      <c r="F63" s="14"/>
      <c r="G63" s="14"/>
      <c r="H63" s="14"/>
      <c r="I63" s="14"/>
      <c r="J63" s="226"/>
      <c r="K63" s="227"/>
    </row>
    <row r="64" ht="37.5" customHeight="1">
      <c r="A64" s="129"/>
      <c r="B64" s="204" t="s">
        <v>5176</v>
      </c>
      <c r="C64" s="114" t="s">
        <v>5177</v>
      </c>
      <c r="D64" s="204" t="s">
        <v>5236</v>
      </c>
      <c r="E64" s="204" t="s">
        <v>5230</v>
      </c>
      <c r="F64" s="14"/>
      <c r="G64" s="14"/>
      <c r="H64" s="14"/>
      <c r="I64" s="14"/>
      <c r="J64" s="226"/>
      <c r="K64" s="227"/>
    </row>
    <row r="65" ht="37.5" customHeight="1">
      <c r="A65" s="129"/>
      <c r="B65" s="204" t="s">
        <v>5039</v>
      </c>
      <c r="C65" s="114" t="s">
        <v>5040</v>
      </c>
      <c r="D65" s="204" t="s">
        <v>5236</v>
      </c>
      <c r="E65" s="204" t="s">
        <v>5234</v>
      </c>
      <c r="F65" s="14"/>
      <c r="G65" s="14"/>
      <c r="H65" s="14"/>
      <c r="I65" s="14"/>
      <c r="J65" s="226"/>
      <c r="K65" s="227"/>
    </row>
    <row r="66" ht="37.5" customHeight="1">
      <c r="A66" s="129"/>
      <c r="B66" s="204" t="s">
        <v>5194</v>
      </c>
      <c r="C66" s="114" t="s">
        <v>5195</v>
      </c>
      <c r="D66" s="204" t="s">
        <v>5236</v>
      </c>
      <c r="E66" s="204" t="s">
        <v>5230</v>
      </c>
      <c r="F66" s="14"/>
      <c r="G66" s="14"/>
      <c r="H66" s="14"/>
      <c r="I66" s="14"/>
      <c r="J66" s="226"/>
      <c r="K66" s="227"/>
    </row>
    <row r="67" ht="37.5" customHeight="1">
      <c r="A67" s="129"/>
      <c r="B67" s="204" t="s">
        <v>5170</v>
      </c>
      <c r="C67" s="114" t="s">
        <v>5171</v>
      </c>
      <c r="D67" s="204" t="s">
        <v>5236</v>
      </c>
      <c r="E67" s="204" t="s">
        <v>5230</v>
      </c>
      <c r="F67" s="14"/>
      <c r="G67" s="14"/>
      <c r="H67" s="14"/>
      <c r="I67" s="14"/>
      <c r="J67" s="226"/>
      <c r="K67" s="227"/>
    </row>
    <row r="68" ht="37.5" customHeight="1">
      <c r="A68" s="129"/>
      <c r="B68" s="204" t="s">
        <v>5152</v>
      </c>
      <c r="C68" s="114" t="s">
        <v>5153</v>
      </c>
      <c r="D68" s="204" t="s">
        <v>5236</v>
      </c>
      <c r="E68" s="204" t="s">
        <v>5230</v>
      </c>
      <c r="F68" s="14"/>
      <c r="G68" s="14"/>
      <c r="H68" s="14"/>
      <c r="I68" s="14"/>
      <c r="J68" s="226"/>
      <c r="K68" s="227"/>
    </row>
    <row r="69" ht="37.5" customHeight="1">
      <c r="A69" s="129"/>
      <c r="B69" s="204" t="s">
        <v>5081</v>
      </c>
      <c r="C69" s="114" t="s">
        <v>5082</v>
      </c>
      <c r="D69" s="204" t="s">
        <v>5236</v>
      </c>
      <c r="E69" s="204" t="s">
        <v>5230</v>
      </c>
      <c r="F69" s="14"/>
      <c r="G69" s="14"/>
      <c r="H69" s="14"/>
      <c r="I69" s="14"/>
      <c r="J69" s="226"/>
      <c r="K69" s="227"/>
    </row>
    <row r="70" ht="37.5" customHeight="1">
      <c r="A70" s="129"/>
      <c r="B70" s="204" t="s">
        <v>5182</v>
      </c>
      <c r="C70" s="114" t="s">
        <v>5183</v>
      </c>
      <c r="D70" s="204" t="s">
        <v>5236</v>
      </c>
      <c r="E70" s="204" t="s">
        <v>5230</v>
      </c>
      <c r="F70" s="14"/>
      <c r="G70" s="14"/>
      <c r="H70" s="14"/>
      <c r="I70" s="14"/>
      <c r="J70" s="226"/>
      <c r="K70" s="227"/>
    </row>
    <row r="71" ht="37.5" customHeight="1">
      <c r="A71" s="129"/>
      <c r="B71" s="204" t="s">
        <v>5212</v>
      </c>
      <c r="C71" s="114" t="s">
        <v>5213</v>
      </c>
      <c r="D71" s="204" t="s">
        <v>5236</v>
      </c>
      <c r="E71" s="204" t="s">
        <v>5230</v>
      </c>
      <c r="F71" s="14"/>
      <c r="G71" s="14"/>
      <c r="H71" s="14"/>
      <c r="I71" s="14"/>
      <c r="J71" s="226"/>
      <c r="K71" s="227"/>
    </row>
    <row r="72" ht="37.5" customHeight="1">
      <c r="A72" s="129"/>
      <c r="B72" s="204" t="s">
        <v>5134</v>
      </c>
      <c r="C72" s="114" t="s">
        <v>5135</v>
      </c>
      <c r="D72" s="204" t="s">
        <v>5236</v>
      </c>
      <c r="E72" s="204" t="s">
        <v>5230</v>
      </c>
      <c r="F72" s="14"/>
      <c r="G72" s="14"/>
      <c r="H72" s="14"/>
      <c r="I72" s="14"/>
      <c r="J72" s="226"/>
      <c r="K72" s="227"/>
    </row>
    <row r="73" ht="37.5" customHeight="1">
      <c r="A73" s="129"/>
      <c r="B73" s="204" t="s">
        <v>5045</v>
      </c>
      <c r="C73" s="114" t="s">
        <v>5046</v>
      </c>
      <c r="D73" s="204" t="s">
        <v>5236</v>
      </c>
      <c r="E73" s="204" t="s">
        <v>5230</v>
      </c>
      <c r="F73" s="14"/>
      <c r="G73" s="14"/>
      <c r="H73" s="14"/>
      <c r="I73" s="14"/>
      <c r="J73" s="226"/>
      <c r="K73" s="227"/>
    </row>
    <row r="74" ht="37.5" customHeight="1">
      <c r="A74" s="129"/>
      <c r="B74" s="204" t="s">
        <v>5122</v>
      </c>
      <c r="C74" s="114" t="s">
        <v>5123</v>
      </c>
      <c r="D74" s="204" t="s">
        <v>5236</v>
      </c>
      <c r="E74" s="204" t="s">
        <v>5230</v>
      </c>
      <c r="F74" s="14"/>
      <c r="G74" s="14"/>
      <c r="H74" s="14"/>
      <c r="I74" s="14"/>
      <c r="J74" s="226"/>
      <c r="K74" s="227"/>
    </row>
    <row r="75" ht="37.5" customHeight="1">
      <c r="A75" s="129"/>
      <c r="B75" s="204" t="s">
        <v>5188</v>
      </c>
      <c r="C75" s="114" t="s">
        <v>5237</v>
      </c>
      <c r="D75" s="204" t="s">
        <v>5236</v>
      </c>
      <c r="E75" s="204" t="s">
        <v>5230</v>
      </c>
      <c r="F75" s="14"/>
      <c r="G75" s="14"/>
      <c r="H75" s="14"/>
      <c r="I75" s="14"/>
      <c r="J75" s="226"/>
      <c r="K75" s="227"/>
    </row>
    <row r="76" ht="37.5" customHeight="1">
      <c r="A76" s="129"/>
      <c r="B76" s="204" t="s">
        <v>5021</v>
      </c>
      <c r="C76" s="114" t="s">
        <v>5022</v>
      </c>
      <c r="D76" s="204" t="s">
        <v>5236</v>
      </c>
      <c r="E76" s="11" t="s">
        <v>911</v>
      </c>
      <c r="F76" s="14"/>
      <c r="G76" s="14"/>
      <c r="H76" s="14"/>
      <c r="I76" s="14"/>
      <c r="J76" s="226"/>
      <c r="K76" s="227"/>
    </row>
    <row r="77" ht="37.5" customHeight="1">
      <c r="A77" s="129"/>
      <c r="B77" s="204" t="s">
        <v>5051</v>
      </c>
      <c r="C77" s="114" t="s">
        <v>5052</v>
      </c>
      <c r="D77" s="204" t="s">
        <v>5236</v>
      </c>
      <c r="E77" s="204" t="s">
        <v>5230</v>
      </c>
      <c r="F77" s="14"/>
      <c r="G77" s="14"/>
      <c r="H77" s="14"/>
      <c r="I77" s="14"/>
      <c r="J77" s="226"/>
      <c r="K77" s="227"/>
    </row>
    <row r="78" ht="37.5" customHeight="1">
      <c r="A78" s="129"/>
      <c r="B78" s="204" t="s">
        <v>5110</v>
      </c>
      <c r="C78" s="114" t="s">
        <v>5111</v>
      </c>
      <c r="D78" s="204" t="s">
        <v>5236</v>
      </c>
      <c r="E78" s="204" t="s">
        <v>5230</v>
      </c>
      <c r="F78" s="14"/>
      <c r="G78" s="14"/>
      <c r="H78" s="14"/>
      <c r="I78" s="14"/>
      <c r="J78" s="226"/>
      <c r="K78" s="227"/>
    </row>
    <row r="79" ht="37.5" customHeight="1">
      <c r="A79" s="129"/>
      <c r="B79" s="204" t="s">
        <v>4993</v>
      </c>
      <c r="C79" s="114" t="s">
        <v>4994</v>
      </c>
      <c r="D79" s="204" t="s">
        <v>5236</v>
      </c>
      <c r="E79" s="204" t="s">
        <v>5230</v>
      </c>
      <c r="F79" s="14"/>
      <c r="G79" s="14"/>
      <c r="H79" s="14"/>
      <c r="I79" s="14"/>
      <c r="J79" s="226"/>
      <c r="K79" s="227"/>
    </row>
    <row r="80" ht="37.5" customHeight="1">
      <c r="A80" s="129"/>
      <c r="B80" s="204" t="s">
        <v>4981</v>
      </c>
      <c r="C80" s="114" t="str">
        <f>"+165% melee, +50% super damage in 15m of 3 enemies"</f>
        <v>+165% melee, +50% super damage in 15m of 3 enemies</v>
      </c>
      <c r="D80" s="204" t="s">
        <v>5236</v>
      </c>
      <c r="E80" s="204" t="s">
        <v>5230</v>
      </c>
      <c r="F80" s="14"/>
      <c r="G80" s="14"/>
      <c r="H80" s="14"/>
      <c r="I80" s="14"/>
      <c r="J80" s="226"/>
      <c r="K80" s="227"/>
    </row>
    <row r="81" ht="37.5" customHeight="1">
      <c r="A81" s="129"/>
      <c r="B81" s="204" t="s">
        <v>5075</v>
      </c>
      <c r="C81" s="114" t="s">
        <v>5076</v>
      </c>
      <c r="D81" s="204" t="s">
        <v>5236</v>
      </c>
      <c r="E81" s="204" t="s">
        <v>5230</v>
      </c>
      <c r="F81" s="14"/>
      <c r="G81" s="14"/>
      <c r="H81" s="14"/>
      <c r="I81" s="14"/>
      <c r="J81" s="226"/>
      <c r="K81" s="227"/>
    </row>
    <row r="82" ht="37.5" customHeight="1">
      <c r="A82" s="129"/>
      <c r="B82" s="204" t="s">
        <v>5116</v>
      </c>
      <c r="C82" s="114" t="s">
        <v>5117</v>
      </c>
      <c r="D82" s="204" t="s">
        <v>5236</v>
      </c>
      <c r="E82" s="204" t="s">
        <v>71</v>
      </c>
      <c r="F82" s="14"/>
      <c r="G82" s="14"/>
      <c r="H82" s="14"/>
      <c r="I82" s="14"/>
      <c r="J82" s="226"/>
      <c r="K82" s="227"/>
    </row>
    <row r="83" ht="37.5" customHeight="1">
      <c r="A83" s="129"/>
      <c r="B83" s="204" t="s">
        <v>5087</v>
      </c>
      <c r="C83" s="114" t="s">
        <v>5238</v>
      </c>
      <c r="D83" s="204" t="s">
        <v>5236</v>
      </c>
      <c r="E83" s="204" t="s">
        <v>5230</v>
      </c>
      <c r="F83" s="14"/>
      <c r="G83" s="14"/>
      <c r="H83" s="14"/>
      <c r="I83" s="14"/>
      <c r="J83" s="226"/>
      <c r="K83" s="227"/>
    </row>
    <row r="84" ht="37.5" customHeight="1">
      <c r="A84" s="14"/>
      <c r="B84" s="11" t="s">
        <v>5018</v>
      </c>
      <c r="C84" s="114" t="s">
        <v>5229</v>
      </c>
      <c r="D84" s="11" t="s">
        <v>5239</v>
      </c>
      <c r="E84" s="11" t="s">
        <v>71</v>
      </c>
      <c r="F84" s="14"/>
      <c r="G84" s="14"/>
      <c r="H84" s="14"/>
      <c r="I84" s="14"/>
      <c r="J84" s="226"/>
      <c r="K84" s="227"/>
    </row>
    <row r="85" ht="37.5" customHeight="1">
      <c r="A85" s="14"/>
      <c r="B85" s="11" t="s">
        <v>5172</v>
      </c>
      <c r="C85" s="14" t="s">
        <v>5240</v>
      </c>
      <c r="D85" s="11" t="s">
        <v>5239</v>
      </c>
      <c r="E85" s="11" t="s">
        <v>71</v>
      </c>
      <c r="F85" s="14"/>
      <c r="G85" s="14"/>
      <c r="H85" s="14"/>
      <c r="I85" s="14"/>
      <c r="J85" s="226"/>
      <c r="K85" s="227"/>
    </row>
    <row r="86" ht="37.5" customHeight="1">
      <c r="A86" s="14"/>
      <c r="B86" s="11" t="s">
        <v>5112</v>
      </c>
      <c r="C86" s="14" t="s">
        <v>5113</v>
      </c>
      <c r="D86" s="11" t="s">
        <v>5239</v>
      </c>
      <c r="E86" s="11" t="s">
        <v>5230</v>
      </c>
      <c r="F86" s="14"/>
      <c r="G86" s="14"/>
      <c r="H86" s="14"/>
      <c r="I86" s="14"/>
      <c r="J86" s="226"/>
      <c r="K86" s="227"/>
    </row>
    <row r="87" ht="37.5" customHeight="1">
      <c r="A87" s="14"/>
      <c r="B87" s="11" t="s">
        <v>5065</v>
      </c>
      <c r="C87" s="14" t="s">
        <v>5241</v>
      </c>
      <c r="D87" s="11" t="s">
        <v>5239</v>
      </c>
      <c r="E87" s="11" t="s">
        <v>911</v>
      </c>
      <c r="F87" s="14"/>
      <c r="G87" s="14"/>
      <c r="H87" s="14"/>
      <c r="I87" s="14"/>
      <c r="J87" s="226"/>
      <c r="K87" s="227"/>
    </row>
    <row r="88" ht="37.5" customHeight="1">
      <c r="A88" s="14"/>
      <c r="B88" s="11" t="s">
        <v>5041</v>
      </c>
      <c r="C88" s="14" t="s">
        <v>5042</v>
      </c>
      <c r="D88" s="11" t="s">
        <v>5239</v>
      </c>
      <c r="E88" s="11" t="s">
        <v>5230</v>
      </c>
      <c r="F88" s="14"/>
      <c r="G88" s="14"/>
      <c r="H88" s="14"/>
      <c r="I88" s="14"/>
      <c r="J88" s="226"/>
      <c r="K88" s="227"/>
    </row>
    <row r="89" ht="37.5" customHeight="1">
      <c r="A89" s="14"/>
      <c r="B89" s="11" t="s">
        <v>5095</v>
      </c>
      <c r="C89" s="14" t="s">
        <v>5242</v>
      </c>
      <c r="D89" s="11" t="s">
        <v>5239</v>
      </c>
      <c r="E89" s="11" t="s">
        <v>5230</v>
      </c>
      <c r="F89" s="14"/>
      <c r="G89" s="14"/>
      <c r="H89" s="14"/>
      <c r="I89" s="14"/>
      <c r="J89" s="226"/>
      <c r="K89" s="227"/>
    </row>
    <row r="90" ht="37.5" customHeight="1">
      <c r="A90" s="14"/>
      <c r="B90" s="11" t="s">
        <v>4983</v>
      </c>
      <c r="C90" s="14" t="s">
        <v>4984</v>
      </c>
      <c r="D90" s="11" t="s">
        <v>5239</v>
      </c>
      <c r="E90" s="11" t="s">
        <v>5230</v>
      </c>
      <c r="F90" s="14"/>
      <c r="G90" s="14"/>
      <c r="H90" s="14"/>
      <c r="I90" s="14"/>
      <c r="J90" s="226"/>
      <c r="K90" s="227"/>
    </row>
    <row r="91" ht="37.5" customHeight="1">
      <c r="A91" s="14"/>
      <c r="B91" s="11" t="s">
        <v>5196</v>
      </c>
      <c r="C91" s="14" t="s">
        <v>5197</v>
      </c>
      <c r="D91" s="11" t="s">
        <v>5239</v>
      </c>
      <c r="E91" s="11" t="s">
        <v>5230</v>
      </c>
      <c r="F91" s="14"/>
      <c r="G91" s="14"/>
      <c r="H91" s="14"/>
      <c r="I91" s="14"/>
      <c r="J91" s="226"/>
      <c r="K91" s="227"/>
    </row>
    <row r="92" ht="37.5" customHeight="1">
      <c r="A92" s="14"/>
      <c r="B92" s="11" t="s">
        <v>5190</v>
      </c>
      <c r="C92" s="14" t="s">
        <v>5191</v>
      </c>
      <c r="D92" s="11" t="s">
        <v>5239</v>
      </c>
      <c r="E92" s="11" t="s">
        <v>5230</v>
      </c>
      <c r="F92" s="14"/>
      <c r="G92" s="14"/>
      <c r="H92" s="14"/>
      <c r="I92" s="14"/>
      <c r="J92" s="226"/>
      <c r="K92" s="227"/>
    </row>
    <row r="93" ht="37.5" customHeight="1">
      <c r="A93" s="14"/>
      <c r="B93" s="11" t="s">
        <v>5035</v>
      </c>
      <c r="C93" s="14" t="s">
        <v>5036</v>
      </c>
      <c r="D93" s="11" t="s">
        <v>5239</v>
      </c>
      <c r="E93" s="11" t="s">
        <v>5230</v>
      </c>
      <c r="F93" s="14"/>
      <c r="G93" s="14"/>
      <c r="H93" s="14"/>
      <c r="I93" s="14"/>
      <c r="J93" s="226"/>
      <c r="K93" s="227"/>
    </row>
    <row r="94" ht="37.5" customHeight="1">
      <c r="A94" s="14"/>
      <c r="B94" s="11" t="s">
        <v>5118</v>
      </c>
      <c r="C94" s="14" t="s">
        <v>5119</v>
      </c>
      <c r="D94" s="11" t="s">
        <v>5239</v>
      </c>
      <c r="E94" s="11" t="s">
        <v>5230</v>
      </c>
      <c r="F94" s="14"/>
      <c r="G94" s="14"/>
      <c r="H94" s="14"/>
      <c r="I94" s="14"/>
      <c r="J94" s="226"/>
      <c r="K94" s="227"/>
    </row>
    <row r="95" ht="37.5" customHeight="1">
      <c r="A95" s="14"/>
      <c r="B95" s="11" t="s">
        <v>5178</v>
      </c>
      <c r="C95" s="14" t="s">
        <v>5179</v>
      </c>
      <c r="D95" s="11" t="s">
        <v>5239</v>
      </c>
      <c r="E95" s="11" t="s">
        <v>5230</v>
      </c>
      <c r="F95" s="14"/>
      <c r="G95" s="14"/>
      <c r="H95" s="14"/>
      <c r="I95" s="14"/>
      <c r="J95" s="226"/>
      <c r="K95" s="227"/>
    </row>
    <row r="96" ht="37.5" customHeight="1">
      <c r="A96" s="14"/>
      <c r="B96" s="11" t="s">
        <v>5160</v>
      </c>
      <c r="C96" s="14" t="s">
        <v>5161</v>
      </c>
      <c r="D96" s="11" t="s">
        <v>5239</v>
      </c>
      <c r="E96" s="11" t="s">
        <v>5230</v>
      </c>
      <c r="F96" s="14"/>
      <c r="G96" s="14"/>
      <c r="H96" s="14"/>
      <c r="I96" s="14"/>
      <c r="J96" s="226"/>
      <c r="K96" s="227"/>
    </row>
    <row r="97" ht="37.5" customHeight="1">
      <c r="A97" s="14"/>
      <c r="B97" s="11" t="s">
        <v>5023</v>
      </c>
      <c r="C97" s="14" t="s">
        <v>5024</v>
      </c>
      <c r="D97" s="11" t="s">
        <v>5239</v>
      </c>
      <c r="E97" s="11" t="s">
        <v>5230</v>
      </c>
      <c r="F97" s="14"/>
      <c r="G97" s="14"/>
      <c r="H97" s="14"/>
      <c r="I97" s="14"/>
      <c r="J97" s="226"/>
      <c r="K97" s="227"/>
    </row>
    <row r="98" ht="37.5" customHeight="1">
      <c r="A98" s="14"/>
      <c r="B98" s="11" t="s">
        <v>5047</v>
      </c>
      <c r="C98" s="14" t="s">
        <v>5048</v>
      </c>
      <c r="D98" s="11" t="s">
        <v>5239</v>
      </c>
      <c r="E98" s="11" t="s">
        <v>5230</v>
      </c>
      <c r="F98" s="14"/>
      <c r="G98" s="14"/>
      <c r="H98" s="14"/>
      <c r="I98" s="14"/>
      <c r="J98" s="226"/>
      <c r="K98" s="227"/>
    </row>
    <row r="99" ht="37.5" customHeight="1">
      <c r="A99" s="14"/>
      <c r="B99" s="11" t="s">
        <v>5124</v>
      </c>
      <c r="C99" s="14" t="s">
        <v>5125</v>
      </c>
      <c r="D99" s="11" t="s">
        <v>5239</v>
      </c>
      <c r="E99" s="11" t="s">
        <v>911</v>
      </c>
      <c r="F99" s="14"/>
      <c r="G99" s="14"/>
      <c r="H99" s="14"/>
      <c r="I99" s="14"/>
      <c r="J99" s="226"/>
      <c r="K99" s="227"/>
    </row>
    <row r="100" ht="37.5" customHeight="1">
      <c r="A100" s="14"/>
      <c r="B100" s="11" t="s">
        <v>5142</v>
      </c>
      <c r="C100" s="14" t="s">
        <v>5143</v>
      </c>
      <c r="D100" s="11" t="s">
        <v>5239</v>
      </c>
      <c r="E100" s="11" t="s">
        <v>5230</v>
      </c>
      <c r="F100" s="14"/>
      <c r="G100" s="14"/>
      <c r="H100" s="14"/>
      <c r="I100" s="14"/>
      <c r="J100" s="226"/>
      <c r="K100" s="227"/>
    </row>
    <row r="101" ht="37.5" customHeight="1">
      <c r="A101" s="14"/>
      <c r="B101" s="11" t="s">
        <v>5148</v>
      </c>
      <c r="C101" s="14" t="s">
        <v>5243</v>
      </c>
      <c r="D101" s="11" t="s">
        <v>5239</v>
      </c>
      <c r="E101" s="11" t="s">
        <v>5230</v>
      </c>
      <c r="F101" s="14"/>
      <c r="G101" s="14"/>
      <c r="H101" s="14"/>
      <c r="I101" s="14"/>
      <c r="J101" s="226"/>
      <c r="K101" s="227"/>
    </row>
    <row r="102" ht="37.5" customHeight="1">
      <c r="A102" s="172"/>
      <c r="B102" s="11" t="s">
        <v>5006</v>
      </c>
      <c r="C102" s="14" t="s">
        <v>5007</v>
      </c>
      <c r="D102" s="11" t="s">
        <v>5239</v>
      </c>
      <c r="E102" s="11" t="s">
        <v>71</v>
      </c>
      <c r="F102" s="14"/>
      <c r="G102" s="14"/>
      <c r="H102" s="14"/>
      <c r="I102" s="14"/>
      <c r="J102" s="226"/>
      <c r="K102" s="227"/>
    </row>
    <row r="103" ht="37.5" customHeight="1">
      <c r="A103" s="14"/>
      <c r="B103" s="11" t="s">
        <v>5130</v>
      </c>
      <c r="C103" s="14" t="s">
        <v>5131</v>
      </c>
      <c r="D103" s="11" t="s">
        <v>5239</v>
      </c>
      <c r="E103" s="11" t="s">
        <v>5230</v>
      </c>
      <c r="F103" s="14"/>
      <c r="G103" s="14"/>
      <c r="H103" s="14"/>
      <c r="I103" s="14"/>
      <c r="J103" s="226"/>
      <c r="K103" s="227"/>
    </row>
    <row r="104" ht="37.5" customHeight="1">
      <c r="A104" s="14"/>
      <c r="B104" s="11" t="s">
        <v>5029</v>
      </c>
      <c r="C104" s="14" t="s">
        <v>5030</v>
      </c>
      <c r="D104" s="11" t="s">
        <v>5239</v>
      </c>
      <c r="E104" s="11" t="s">
        <v>5230</v>
      </c>
      <c r="F104" s="14"/>
      <c r="G104" s="14"/>
      <c r="H104" s="14"/>
      <c r="I104" s="14"/>
      <c r="J104" s="226"/>
      <c r="K104" s="227"/>
    </row>
    <row r="105" ht="37.5" customHeight="1">
      <c r="A105" s="14"/>
      <c r="B105" s="11" t="s">
        <v>5136</v>
      </c>
      <c r="C105" s="14" t="s">
        <v>5137</v>
      </c>
      <c r="D105" s="11" t="s">
        <v>5239</v>
      </c>
      <c r="E105" s="11" t="s">
        <v>5230</v>
      </c>
      <c r="F105" s="14"/>
      <c r="G105" s="14"/>
      <c r="H105" s="14"/>
      <c r="I105" s="14"/>
      <c r="J105" s="226"/>
      <c r="K105" s="227"/>
    </row>
    <row r="106" ht="37.5" customHeight="1">
      <c r="A106" s="14"/>
      <c r="B106" s="11" t="s">
        <v>5208</v>
      </c>
      <c r="C106" s="14" t="s">
        <v>5209</v>
      </c>
      <c r="D106" s="11" t="s">
        <v>5239</v>
      </c>
      <c r="E106" s="11" t="s">
        <v>5230</v>
      </c>
      <c r="F106" s="14"/>
      <c r="G106" s="14"/>
      <c r="H106" s="14"/>
      <c r="I106" s="14"/>
      <c r="J106" s="226"/>
      <c r="K106" s="227"/>
    </row>
    <row r="107" ht="37.5" customHeight="1">
      <c r="A107" s="14"/>
      <c r="B107" s="11" t="s">
        <v>5089</v>
      </c>
      <c r="C107" s="14" t="s">
        <v>5090</v>
      </c>
      <c r="D107" s="11" t="s">
        <v>5239</v>
      </c>
      <c r="E107" s="11" t="s">
        <v>71</v>
      </c>
      <c r="F107" s="14"/>
      <c r="G107" s="14"/>
      <c r="H107" s="14"/>
      <c r="I107" s="14"/>
      <c r="J107" s="226"/>
      <c r="K107" s="227"/>
    </row>
    <row r="108" ht="37.5" customHeight="1">
      <c r="A108" s="14"/>
      <c r="B108" s="11" t="s">
        <v>5077</v>
      </c>
      <c r="C108" s="14" t="s">
        <v>5078</v>
      </c>
      <c r="D108" s="11" t="s">
        <v>5239</v>
      </c>
      <c r="E108" s="11" t="s">
        <v>5230</v>
      </c>
      <c r="F108" s="14"/>
      <c r="G108" s="14"/>
      <c r="H108" s="14"/>
      <c r="I108" s="14"/>
      <c r="J108" s="226"/>
      <c r="K108" s="227"/>
    </row>
    <row r="109" ht="37.5" customHeight="1">
      <c r="A109" s="14"/>
      <c r="B109" s="11" t="s">
        <v>5059</v>
      </c>
      <c r="C109" s="14" t="s">
        <v>5060</v>
      </c>
      <c r="D109" s="11" t="s">
        <v>5239</v>
      </c>
      <c r="E109" s="11" t="s">
        <v>5230</v>
      </c>
      <c r="F109" s="14"/>
      <c r="G109" s="14"/>
      <c r="H109" s="14"/>
      <c r="I109" s="14"/>
      <c r="J109" s="226"/>
      <c r="K109" s="227"/>
    </row>
    <row r="110" ht="37.5" customHeight="1">
      <c r="A110" s="14"/>
      <c r="B110" s="11" t="s">
        <v>5220</v>
      </c>
      <c r="C110" s="14" t="s">
        <v>5221</v>
      </c>
      <c r="D110" s="11" t="s">
        <v>5239</v>
      </c>
      <c r="E110" s="11" t="s">
        <v>5230</v>
      </c>
      <c r="F110" s="14"/>
      <c r="G110" s="14"/>
      <c r="H110" s="14"/>
      <c r="I110" s="14"/>
      <c r="J110" s="226"/>
      <c r="K110" s="227"/>
    </row>
    <row r="111" ht="37.5" customHeight="1">
      <c r="A111" s="14"/>
      <c r="B111" s="11" t="s">
        <v>5001</v>
      </c>
      <c r="C111" s="14" t="s">
        <v>5002</v>
      </c>
      <c r="D111" s="11" t="s">
        <v>5239</v>
      </c>
      <c r="E111" s="11" t="s">
        <v>911</v>
      </c>
      <c r="F111" s="14"/>
      <c r="G111" s="14"/>
      <c r="H111" s="14"/>
      <c r="I111" s="14"/>
      <c r="J111" s="226"/>
      <c r="K111" s="227"/>
    </row>
    <row r="112" ht="37.5" customHeight="1">
      <c r="A112" s="14"/>
      <c r="B112" s="11" t="s">
        <v>5106</v>
      </c>
      <c r="C112" s="14" t="s">
        <v>5107</v>
      </c>
      <c r="D112" s="11" t="s">
        <v>5239</v>
      </c>
      <c r="E112" s="11" t="s">
        <v>5230</v>
      </c>
      <c r="F112" s="14"/>
      <c r="G112" s="14"/>
      <c r="H112" s="14"/>
      <c r="I112" s="14"/>
      <c r="J112" s="226"/>
      <c r="K112" s="227"/>
    </row>
    <row r="113" ht="37.5" customHeight="1">
      <c r="A113" s="14"/>
      <c r="B113" s="11" t="s">
        <v>5166</v>
      </c>
      <c r="C113" s="14" t="s">
        <v>5167</v>
      </c>
      <c r="D113" s="11" t="s">
        <v>5239</v>
      </c>
      <c r="E113" s="11" t="s">
        <v>5230</v>
      </c>
      <c r="F113" s="14"/>
      <c r="G113" s="14"/>
      <c r="H113" s="14"/>
      <c r="I113" s="14"/>
      <c r="J113" s="226"/>
      <c r="K113" s="227"/>
    </row>
    <row r="114" ht="37.5" customHeight="1">
      <c r="A114" s="14"/>
      <c r="B114" s="11" t="s">
        <v>5202</v>
      </c>
      <c r="C114" s="14" t="s">
        <v>5203</v>
      </c>
      <c r="D114" s="11" t="s">
        <v>5239</v>
      </c>
      <c r="E114" s="11" t="s">
        <v>71</v>
      </c>
      <c r="F114" s="14"/>
      <c r="G114" s="14"/>
      <c r="H114" s="14"/>
      <c r="I114" s="14"/>
      <c r="J114" s="226"/>
      <c r="K114" s="227"/>
    </row>
    <row r="115" ht="37.5" customHeight="1">
      <c r="A115" s="14"/>
      <c r="B115" s="11" t="s">
        <v>5083</v>
      </c>
      <c r="C115" s="14" t="s">
        <v>5084</v>
      </c>
      <c r="D115" s="11" t="s">
        <v>5239</v>
      </c>
      <c r="E115" s="11" t="s">
        <v>5230</v>
      </c>
      <c r="F115" s="14"/>
      <c r="G115" s="14"/>
      <c r="H115" s="14"/>
      <c r="I115" s="14"/>
      <c r="J115" s="226"/>
      <c r="K115" s="227"/>
    </row>
    <row r="116" ht="37.5" customHeight="1">
      <c r="A116" s="14"/>
      <c r="B116" s="11" t="s">
        <v>5184</v>
      </c>
      <c r="C116" s="14" t="s">
        <v>5185</v>
      </c>
      <c r="D116" s="11" t="s">
        <v>5239</v>
      </c>
      <c r="E116" s="11" t="s">
        <v>71</v>
      </c>
      <c r="F116" s="14"/>
      <c r="G116" s="14"/>
      <c r="H116" s="14"/>
      <c r="I116" s="14"/>
      <c r="J116" s="226"/>
      <c r="K116" s="227"/>
    </row>
    <row r="117" ht="37.5" customHeight="1">
      <c r="A117" s="14"/>
      <c r="B117" s="11" t="s">
        <v>4989</v>
      </c>
      <c r="C117" s="14" t="s">
        <v>4990</v>
      </c>
      <c r="D117" s="11" t="s">
        <v>5239</v>
      </c>
      <c r="E117" s="11" t="s">
        <v>5230</v>
      </c>
      <c r="F117" s="14"/>
      <c r="G117" s="14"/>
      <c r="H117" s="14"/>
      <c r="I117" s="14"/>
      <c r="J117" s="226"/>
      <c r="K117" s="227"/>
    </row>
    <row r="118" ht="37.5" customHeight="1">
      <c r="A118" s="14"/>
      <c r="B118" s="11" t="s">
        <v>5154</v>
      </c>
      <c r="C118" s="14" t="s">
        <v>5155</v>
      </c>
      <c r="D118" s="11" t="s">
        <v>5239</v>
      </c>
      <c r="E118" s="11" t="s">
        <v>5230</v>
      </c>
      <c r="F118" s="14"/>
      <c r="G118" s="14"/>
      <c r="H118" s="14"/>
      <c r="I118" s="14"/>
      <c r="J118" s="226"/>
      <c r="K118" s="227"/>
    </row>
    <row r="119" ht="37.5" customHeight="1">
      <c r="A119" s="14"/>
      <c r="B119" s="11" t="s">
        <v>5071</v>
      </c>
      <c r="C119" s="14" t="s">
        <v>5072</v>
      </c>
      <c r="D119" s="11" t="s">
        <v>5239</v>
      </c>
      <c r="E119" s="11" t="s">
        <v>5230</v>
      </c>
      <c r="F119" s="14"/>
      <c r="G119" s="14"/>
      <c r="H119" s="14"/>
      <c r="I119" s="14"/>
      <c r="J119" s="226"/>
      <c r="K119" s="227"/>
    </row>
    <row r="120" ht="37.5" customHeight="1">
      <c r="A120" s="14"/>
      <c r="B120" s="11" t="s">
        <v>5053</v>
      </c>
      <c r="C120" s="14" t="s">
        <v>5054</v>
      </c>
      <c r="D120" s="11" t="s">
        <v>5239</v>
      </c>
      <c r="E120" s="11" t="s">
        <v>5234</v>
      </c>
      <c r="F120" s="14"/>
      <c r="G120" s="14"/>
      <c r="H120" s="14"/>
      <c r="I120" s="14"/>
      <c r="J120" s="226"/>
      <c r="K120" s="227"/>
    </row>
    <row r="121" ht="37.5" customHeight="1">
      <c r="A121" s="14"/>
      <c r="B121" s="11" t="s">
        <v>5012</v>
      </c>
      <c r="C121" s="14" t="s">
        <v>5013</v>
      </c>
      <c r="D121" s="11" t="s">
        <v>5239</v>
      </c>
      <c r="E121" s="11" t="s">
        <v>5230</v>
      </c>
      <c r="F121" s="14"/>
      <c r="G121" s="14"/>
      <c r="H121" s="14"/>
      <c r="I121" s="14"/>
      <c r="J121" s="226"/>
      <c r="K121" s="227"/>
    </row>
    <row r="122" ht="37.5" customHeight="1">
      <c r="A122" s="14"/>
      <c r="B122" s="11" t="s">
        <v>4995</v>
      </c>
      <c r="C122" s="14" t="s">
        <v>4996</v>
      </c>
      <c r="D122" s="11" t="s">
        <v>5239</v>
      </c>
      <c r="E122" s="11" t="s">
        <v>5230</v>
      </c>
      <c r="F122" s="14"/>
      <c r="G122" s="14"/>
      <c r="H122" s="14"/>
      <c r="I122" s="14"/>
      <c r="J122" s="226"/>
      <c r="K122" s="227"/>
    </row>
    <row r="123" ht="37.5" customHeight="1">
      <c r="A123" s="14"/>
      <c r="B123" s="11" t="s">
        <v>5214</v>
      </c>
      <c r="C123" s="14" t="s">
        <v>5215</v>
      </c>
      <c r="D123" s="11" t="s">
        <v>5239</v>
      </c>
      <c r="E123" s="11" t="s">
        <v>5230</v>
      </c>
      <c r="F123" s="14"/>
      <c r="G123" s="14"/>
      <c r="H123" s="14"/>
      <c r="I123" s="14"/>
      <c r="J123" s="226"/>
      <c r="K123" s="227"/>
    </row>
    <row r="124" ht="37.5" customHeight="1">
      <c r="A124" s="14"/>
      <c r="B124" s="11" t="s">
        <v>5101</v>
      </c>
      <c r="C124" s="114" t="s">
        <v>5088</v>
      </c>
      <c r="D124" s="11" t="s">
        <v>5239</v>
      </c>
      <c r="E124" s="11" t="s">
        <v>5230</v>
      </c>
      <c r="F124" s="14"/>
      <c r="G124" s="14"/>
      <c r="H124" s="14"/>
      <c r="I124" s="14"/>
      <c r="J124" s="226"/>
      <c r="K124" s="227"/>
    </row>
  </sheetData>
  <autoFilter ref="$A$1:$E$124"/>
  <conditionalFormatting sqref="K2:K124">
    <cfRule type="cellIs" dxfId="4" priority="1" operator="equal">
      <formula>"E"</formula>
    </cfRule>
  </conditionalFormatting>
  <conditionalFormatting sqref="F2:K124">
    <cfRule type="cellIs" dxfId="5" priority="2" operator="equal">
      <formula>"S"</formula>
    </cfRule>
  </conditionalFormatting>
  <conditionalFormatting sqref="F2:K124">
    <cfRule type="cellIs" dxfId="9" priority="3" operator="equal">
      <formula>"A"</formula>
    </cfRule>
  </conditionalFormatting>
  <conditionalFormatting sqref="F2:K124">
    <cfRule type="cellIs" dxfId="6" priority="4" operator="equal">
      <formula>"B"</formula>
    </cfRule>
  </conditionalFormatting>
  <conditionalFormatting sqref="F2:K124">
    <cfRule type="cellIs" dxfId="8" priority="5" operator="equal">
      <formula>"C"</formula>
    </cfRule>
  </conditionalFormatting>
  <conditionalFormatting sqref="F2:K124">
    <cfRule type="cellIs" dxfId="7" priority="6" operator="equal">
      <formula>"D"</formula>
    </cfRule>
  </conditionalFormatting>
  <conditionalFormatting sqref="F2:K124">
    <cfRule type="cellIs" dxfId="23" priority="7" operator="equal">
      <formula>"F"</formula>
    </cfRule>
  </conditionalFormatting>
  <conditionalFormatting sqref="F2:K124">
    <cfRule type="cellIs" dxfId="5" priority="8" operator="equal">
      <formula>"✔"</formula>
    </cfRule>
  </conditionalFormatting>
  <conditionalFormatting sqref="F2:K124">
    <cfRule type="cellIs" dxfId="6" priority="9" operator="equal">
      <formula>"▲"</formula>
    </cfRule>
  </conditionalFormatting>
  <conditionalFormatting sqref="F2:K124">
    <cfRule type="cellIs" dxfId="24" priority="10" operator="equal">
      <formula>"!"</formula>
    </cfRule>
  </conditionalFormatting>
  <conditionalFormatting sqref="F2:K124">
    <cfRule type="cellIs" dxfId="7" priority="11" operator="equal">
      <formula>"✖"</formula>
    </cfRule>
  </conditionalFormatting>
  <conditionalFormatting sqref="D2:D124">
    <cfRule type="cellIs" dxfId="7" priority="12" operator="equal">
      <formula>"T"</formula>
    </cfRule>
  </conditionalFormatting>
  <conditionalFormatting sqref="D2:D124">
    <cfRule type="cellIs" dxfId="25" priority="13" operator="equal">
      <formula>"H"</formula>
    </cfRule>
  </conditionalFormatting>
  <conditionalFormatting sqref="D2:D124">
    <cfRule type="cellIs" dxfId="6" priority="14" operator="equal">
      <formula>"W"</formula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14" width="6.38"/>
  </cols>
  <sheetData>
    <row r="1" ht="20.25" customHeight="1">
      <c r="A1" s="218" t="s">
        <v>1783</v>
      </c>
      <c r="B1" s="218" t="s">
        <v>4977</v>
      </c>
      <c r="C1" s="221" t="s">
        <v>5224</v>
      </c>
      <c r="D1" s="221" t="s">
        <v>5244</v>
      </c>
      <c r="E1" s="222" t="s">
        <v>5245</v>
      </c>
      <c r="G1" s="223" t="s">
        <v>5246</v>
      </c>
      <c r="L1" s="228" t="s">
        <v>5247</v>
      </c>
      <c r="M1" s="229" t="s">
        <v>5248</v>
      </c>
      <c r="N1" s="230" t="s">
        <v>5224</v>
      </c>
    </row>
    <row r="2" ht="37.5" customHeight="1">
      <c r="A2" s="11">
        <v>1.0</v>
      </c>
      <c r="B2" s="14"/>
      <c r="C2" s="11" t="s">
        <v>911</v>
      </c>
      <c r="D2" s="114"/>
      <c r="E2" s="114"/>
      <c r="F2" s="114"/>
      <c r="G2" s="114"/>
      <c r="H2" s="114"/>
      <c r="I2" s="114"/>
      <c r="J2" s="14"/>
      <c r="K2" s="231" t="s">
        <v>12</v>
      </c>
      <c r="L2" s="114"/>
      <c r="M2" s="114"/>
      <c r="N2" s="114"/>
    </row>
    <row r="3" ht="37.5" customHeight="1">
      <c r="A3" s="11">
        <v>2.0</v>
      </c>
      <c r="B3" s="14"/>
      <c r="C3" s="11" t="s">
        <v>911</v>
      </c>
      <c r="D3" s="14"/>
      <c r="E3" s="14"/>
      <c r="F3" s="14"/>
      <c r="G3" s="114"/>
      <c r="H3" s="114"/>
      <c r="I3" s="114"/>
      <c r="J3" s="14"/>
      <c r="K3" s="231" t="s">
        <v>12</v>
      </c>
      <c r="L3" s="114"/>
      <c r="M3" s="14"/>
      <c r="N3" s="14"/>
    </row>
    <row r="4" ht="37.5" customHeight="1">
      <c r="A4" s="11">
        <v>3.0</v>
      </c>
      <c r="B4" s="14"/>
      <c r="C4" s="11" t="s">
        <v>911</v>
      </c>
      <c r="D4" s="14"/>
      <c r="E4" s="14"/>
      <c r="F4" s="14"/>
      <c r="G4" s="14"/>
      <c r="H4" s="14"/>
      <c r="I4" s="114"/>
      <c r="J4" s="114"/>
      <c r="K4" s="231" t="s">
        <v>12</v>
      </c>
      <c r="L4" s="14"/>
      <c r="M4" s="14"/>
      <c r="N4" s="14"/>
    </row>
    <row r="5" ht="37.5" customHeight="1">
      <c r="A5" s="11">
        <v>4.0</v>
      </c>
      <c r="B5" s="14"/>
      <c r="C5" s="11" t="s">
        <v>911</v>
      </c>
      <c r="D5" s="14"/>
      <c r="E5" s="14"/>
      <c r="F5" s="14"/>
      <c r="G5" s="14"/>
      <c r="H5" s="14"/>
      <c r="I5" s="114"/>
      <c r="J5" s="14"/>
      <c r="K5" s="114"/>
      <c r="L5" s="14"/>
      <c r="M5" s="14"/>
      <c r="N5" s="14"/>
    </row>
    <row r="6" ht="37.5" customHeight="1">
      <c r="A6" s="11">
        <v>5.0</v>
      </c>
      <c r="B6" s="14"/>
      <c r="C6" s="11" t="s">
        <v>911</v>
      </c>
      <c r="D6" s="14"/>
      <c r="E6" s="14"/>
      <c r="F6" s="14"/>
      <c r="G6" s="14"/>
      <c r="H6" s="14"/>
      <c r="I6" s="114"/>
      <c r="J6" s="14"/>
      <c r="K6" s="14"/>
      <c r="L6" s="14"/>
      <c r="M6" s="14"/>
      <c r="N6" s="14"/>
    </row>
    <row r="7" ht="37.5" customHeight="1">
      <c r="A7" s="11">
        <v>6.0</v>
      </c>
      <c r="B7" s="14"/>
      <c r="C7" s="11" t="s">
        <v>911</v>
      </c>
      <c r="D7" s="14"/>
      <c r="E7" s="14"/>
      <c r="F7" s="14"/>
      <c r="G7" s="14"/>
      <c r="H7" s="14"/>
      <c r="I7" s="114"/>
      <c r="J7" s="114"/>
      <c r="K7" s="114"/>
      <c r="L7" s="14"/>
      <c r="M7" s="14"/>
      <c r="N7" s="14"/>
    </row>
    <row r="8" ht="37.5" customHeight="1">
      <c r="A8" s="11">
        <v>7.0</v>
      </c>
      <c r="B8" s="14"/>
      <c r="C8" s="11" t="s">
        <v>911</v>
      </c>
      <c r="D8" s="14"/>
      <c r="E8" s="14"/>
      <c r="F8" s="14"/>
      <c r="G8" s="14"/>
      <c r="H8" s="14"/>
      <c r="I8" s="14"/>
      <c r="J8" s="14"/>
      <c r="K8" s="231" t="s">
        <v>12</v>
      </c>
      <c r="L8" s="14"/>
      <c r="M8" s="14"/>
      <c r="N8" s="14"/>
    </row>
    <row r="9" ht="37.5" customHeight="1">
      <c r="A9" s="11">
        <v>8.0</v>
      </c>
      <c r="B9" s="14"/>
      <c r="C9" s="11" t="s">
        <v>911</v>
      </c>
      <c r="D9" s="14"/>
      <c r="E9" s="14"/>
      <c r="F9" s="14"/>
      <c r="G9" s="14"/>
      <c r="H9" s="14"/>
      <c r="I9" s="14"/>
      <c r="J9" s="14"/>
      <c r="K9" s="231" t="s">
        <v>12</v>
      </c>
      <c r="L9" s="14"/>
      <c r="M9" s="14"/>
      <c r="N9" s="14"/>
    </row>
    <row r="10" ht="37.5" customHeight="1">
      <c r="A10" s="11">
        <v>9.0</v>
      </c>
      <c r="B10" s="14"/>
      <c r="C10" s="11" t="s">
        <v>911</v>
      </c>
      <c r="D10" s="14"/>
      <c r="E10" s="14"/>
      <c r="F10" s="14"/>
      <c r="G10" s="14"/>
      <c r="H10" s="14"/>
      <c r="I10" s="14"/>
      <c r="J10" s="14"/>
      <c r="K10" s="231" t="s">
        <v>12</v>
      </c>
      <c r="L10" s="14"/>
      <c r="M10" s="14"/>
      <c r="N10" s="14"/>
    </row>
    <row r="11" ht="37.5" customHeight="1">
      <c r="A11" s="11">
        <v>10.0</v>
      </c>
      <c r="B11" s="14"/>
      <c r="C11" s="11" t="s">
        <v>911</v>
      </c>
      <c r="D11" s="14"/>
      <c r="E11" s="14"/>
      <c r="F11" s="14"/>
      <c r="G11" s="114"/>
      <c r="H11" s="114"/>
      <c r="I11" s="114"/>
      <c r="J11" s="14"/>
      <c r="K11" s="231" t="s">
        <v>12</v>
      </c>
      <c r="L11" s="114"/>
      <c r="M11" s="14"/>
      <c r="N11" s="14"/>
    </row>
    <row r="12" ht="37.5" customHeight="1">
      <c r="A12" s="11">
        <v>11.0</v>
      </c>
      <c r="B12" s="14"/>
      <c r="C12" s="11" t="s">
        <v>911</v>
      </c>
      <c r="D12" s="114"/>
      <c r="E12" s="114"/>
      <c r="F12" s="114"/>
      <c r="G12" s="114"/>
      <c r="H12" s="114"/>
      <c r="I12" s="114"/>
      <c r="J12" s="14"/>
      <c r="K12" s="231" t="s">
        <v>12</v>
      </c>
      <c r="L12" s="114"/>
      <c r="M12" s="114"/>
      <c r="N12" s="114"/>
    </row>
    <row r="13" ht="37.5" customHeight="1">
      <c r="A13" s="11">
        <v>12.0</v>
      </c>
      <c r="B13" s="14"/>
      <c r="C13" s="11" t="s">
        <v>911</v>
      </c>
      <c r="D13" s="114"/>
      <c r="E13" s="114"/>
      <c r="F13" s="14"/>
      <c r="G13" s="14"/>
      <c r="H13" s="114"/>
      <c r="I13" s="114"/>
      <c r="J13" s="114"/>
      <c r="K13" s="231" t="s">
        <v>12</v>
      </c>
      <c r="L13" s="114"/>
      <c r="M13" s="114"/>
      <c r="N13" s="114"/>
    </row>
    <row r="14" ht="37.5" customHeight="1">
      <c r="A14" s="11">
        <v>13.0</v>
      </c>
      <c r="B14" s="14"/>
      <c r="C14" s="11" t="s">
        <v>911</v>
      </c>
      <c r="D14" s="14"/>
      <c r="E14" s="14"/>
      <c r="F14" s="14"/>
      <c r="G14" s="114"/>
      <c r="H14" s="114"/>
      <c r="I14" s="114"/>
      <c r="J14" s="14"/>
      <c r="K14" s="231" t="s">
        <v>12</v>
      </c>
      <c r="L14" s="114"/>
      <c r="M14" s="14"/>
      <c r="N14" s="14"/>
    </row>
    <row r="15" ht="37.5" customHeight="1">
      <c r="A15" s="11">
        <v>14.0</v>
      </c>
      <c r="B15" s="14"/>
      <c r="C15" s="11" t="s">
        <v>911</v>
      </c>
      <c r="D15" s="14"/>
      <c r="E15" s="14"/>
      <c r="F15" s="14"/>
      <c r="G15" s="14"/>
      <c r="H15" s="14"/>
      <c r="I15" s="114"/>
      <c r="J15" s="14"/>
      <c r="K15" s="114"/>
      <c r="L15" s="14"/>
      <c r="M15" s="14"/>
      <c r="N15" s="14"/>
    </row>
    <row r="16" ht="37.5" customHeight="1">
      <c r="A16" s="11">
        <v>15.0</v>
      </c>
      <c r="B16" s="14"/>
      <c r="C16" s="11" t="s">
        <v>911</v>
      </c>
      <c r="D16" s="14"/>
      <c r="E16" s="14"/>
      <c r="F16" s="14"/>
      <c r="G16" s="14"/>
      <c r="H16" s="14"/>
      <c r="I16" s="14"/>
      <c r="J16" s="14"/>
      <c r="K16" s="114"/>
      <c r="L16" s="14"/>
      <c r="M16" s="14"/>
      <c r="N16" s="14"/>
    </row>
    <row r="17" ht="37.5" customHeight="1">
      <c r="A17" s="11">
        <v>15.0</v>
      </c>
      <c r="B17" s="14"/>
      <c r="C17" s="11" t="s">
        <v>911</v>
      </c>
      <c r="D17" s="14"/>
      <c r="E17" s="14"/>
      <c r="F17" s="14"/>
      <c r="G17" s="14"/>
      <c r="H17" s="14"/>
      <c r="I17" s="14"/>
      <c r="J17" s="14"/>
      <c r="K17" s="231" t="s">
        <v>12</v>
      </c>
      <c r="L17" s="14"/>
      <c r="M17" s="14"/>
      <c r="N17" s="14"/>
    </row>
    <row r="18" ht="37.5" customHeight="1">
      <c r="A18" s="11">
        <v>16.0</v>
      </c>
      <c r="B18" s="14"/>
      <c r="C18" s="11" t="s">
        <v>911</v>
      </c>
      <c r="D18" s="14"/>
      <c r="E18" s="14"/>
      <c r="F18" s="14"/>
      <c r="G18" s="14"/>
      <c r="H18" s="114"/>
      <c r="I18" s="114"/>
      <c r="J18" s="14"/>
      <c r="K18" s="231" t="s">
        <v>12</v>
      </c>
      <c r="L18" s="14"/>
      <c r="M18" s="14"/>
      <c r="N18" s="14"/>
    </row>
    <row r="19" ht="37.5" customHeight="1">
      <c r="A19" s="11">
        <v>17.0</v>
      </c>
      <c r="B19" s="14"/>
      <c r="C19" s="11" t="s">
        <v>911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ht="37.5" customHeight="1">
      <c r="A20" s="11">
        <v>18.0</v>
      </c>
      <c r="B20" s="14"/>
      <c r="C20" s="11" t="s">
        <v>911</v>
      </c>
      <c r="D20" s="114"/>
      <c r="E20" s="114"/>
      <c r="F20" s="114"/>
      <c r="G20" s="14"/>
      <c r="H20" s="114"/>
      <c r="I20" s="114"/>
      <c r="J20" s="114"/>
      <c r="K20" s="231" t="s">
        <v>12</v>
      </c>
      <c r="L20" s="114"/>
      <c r="M20" s="114"/>
      <c r="N20" s="114"/>
    </row>
    <row r="21" ht="37.5" customHeight="1">
      <c r="A21" s="11">
        <v>19.0</v>
      </c>
      <c r="B21" s="14"/>
      <c r="C21" s="11" t="s">
        <v>911</v>
      </c>
      <c r="D21" s="14"/>
      <c r="E21" s="14"/>
      <c r="F21" s="14"/>
      <c r="G21" s="14"/>
      <c r="H21" s="114"/>
      <c r="I21" s="114"/>
      <c r="J21" s="114"/>
      <c r="K21" s="231" t="s">
        <v>12</v>
      </c>
      <c r="L21" s="114"/>
      <c r="M21" s="14"/>
      <c r="N21" s="14"/>
    </row>
    <row r="22" ht="37.5" customHeight="1">
      <c r="A22" s="11">
        <v>20.0</v>
      </c>
      <c r="B22" s="14"/>
      <c r="C22" s="11" t="s">
        <v>911</v>
      </c>
      <c r="D22" s="14"/>
      <c r="E22" s="14"/>
      <c r="F22" s="14"/>
      <c r="G22" s="14"/>
      <c r="H22" s="14"/>
      <c r="I22" s="14"/>
      <c r="J22" s="14"/>
      <c r="K22" s="231" t="s">
        <v>12</v>
      </c>
      <c r="L22" s="14"/>
      <c r="M22" s="14"/>
      <c r="N22" s="14"/>
    </row>
    <row r="23" ht="37.5" customHeight="1">
      <c r="A23" s="11">
        <v>21.0</v>
      </c>
      <c r="B23" s="14"/>
      <c r="C23" s="11" t="s">
        <v>911</v>
      </c>
      <c r="D23" s="14"/>
      <c r="E23" s="14"/>
      <c r="F23" s="14"/>
      <c r="G23" s="14"/>
      <c r="H23" s="14"/>
      <c r="I23" s="14"/>
      <c r="J23" s="14"/>
      <c r="K23" s="231" t="s">
        <v>12</v>
      </c>
      <c r="L23" s="14"/>
      <c r="M23" s="14"/>
      <c r="N23" s="14"/>
    </row>
    <row r="24" ht="37.5" customHeight="1">
      <c r="A24" s="11">
        <v>22.0</v>
      </c>
      <c r="B24" s="14"/>
      <c r="C24" s="11" t="s">
        <v>911</v>
      </c>
      <c r="D24" s="14"/>
      <c r="E24" s="14"/>
      <c r="F24" s="14"/>
      <c r="G24" s="14"/>
      <c r="H24" s="114"/>
      <c r="I24" s="114"/>
      <c r="J24" s="14"/>
      <c r="K24" s="231" t="s">
        <v>12</v>
      </c>
      <c r="L24" s="114"/>
      <c r="M24" s="14"/>
      <c r="N24" s="14"/>
    </row>
    <row r="25" ht="37.5" customHeight="1">
      <c r="A25" s="11">
        <v>23.0</v>
      </c>
      <c r="B25" s="14"/>
      <c r="C25" s="11" t="s">
        <v>911</v>
      </c>
      <c r="D25" s="114"/>
      <c r="E25" s="114"/>
      <c r="F25" s="114"/>
      <c r="G25" s="14"/>
      <c r="H25" s="114"/>
      <c r="I25" s="114"/>
      <c r="J25" s="14"/>
      <c r="K25" s="231" t="s">
        <v>12</v>
      </c>
      <c r="L25" s="114"/>
      <c r="M25" s="114"/>
      <c r="N25" s="114"/>
    </row>
    <row r="26" ht="37.5" customHeight="1">
      <c r="A26" s="11">
        <v>24.0</v>
      </c>
      <c r="B26" s="14"/>
      <c r="C26" s="11" t="s">
        <v>911</v>
      </c>
      <c r="D26" s="14"/>
      <c r="E26" s="14"/>
      <c r="F26" s="14"/>
      <c r="G26" s="14"/>
      <c r="H26" s="14"/>
      <c r="I26" s="114"/>
      <c r="J26" s="114"/>
      <c r="K26" s="231" t="s">
        <v>12</v>
      </c>
      <c r="L26" s="14"/>
      <c r="M26" s="14"/>
      <c r="N26" s="14"/>
    </row>
    <row r="27" ht="37.5" customHeight="1">
      <c r="A27" s="11">
        <v>25.0</v>
      </c>
      <c r="B27" s="14"/>
      <c r="C27" s="11" t="s">
        <v>911</v>
      </c>
      <c r="D27" s="114"/>
      <c r="E27" s="114"/>
      <c r="F27" s="14"/>
      <c r="G27" s="14"/>
      <c r="H27" s="14"/>
      <c r="I27" s="114"/>
      <c r="J27" s="114"/>
      <c r="K27" s="231" t="s">
        <v>12</v>
      </c>
      <c r="L27" s="114"/>
      <c r="M27" s="114"/>
      <c r="N27" s="14"/>
    </row>
    <row r="28" ht="37.5" customHeight="1">
      <c r="A28" s="11">
        <v>26.0</v>
      </c>
      <c r="B28" s="14"/>
      <c r="C28" s="11" t="s">
        <v>911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ht="37.5" customHeight="1">
      <c r="A29" s="11">
        <v>27.0</v>
      </c>
      <c r="B29" s="14"/>
      <c r="C29" s="11" t="s">
        <v>911</v>
      </c>
      <c r="D29" s="14"/>
      <c r="E29" s="14"/>
      <c r="F29" s="14"/>
      <c r="G29" s="114"/>
      <c r="H29" s="114"/>
      <c r="I29" s="14"/>
      <c r="J29" s="14"/>
      <c r="K29" s="231" t="s">
        <v>12</v>
      </c>
      <c r="L29" s="114"/>
      <c r="M29" s="14"/>
      <c r="N29" s="14"/>
    </row>
    <row r="30" ht="37.5" customHeight="1">
      <c r="A30" s="11">
        <v>28.0</v>
      </c>
      <c r="B30" s="14"/>
      <c r="C30" s="11" t="s">
        <v>911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ht="37.5" customHeight="1">
      <c r="A31" s="11">
        <v>29.0</v>
      </c>
      <c r="B31" s="14"/>
      <c r="C31" s="11" t="s">
        <v>911</v>
      </c>
      <c r="D31" s="14"/>
      <c r="E31" s="14"/>
      <c r="F31" s="14"/>
      <c r="G31" s="14"/>
      <c r="H31" s="14"/>
      <c r="I31" s="114"/>
      <c r="J31" s="14"/>
      <c r="K31" s="114"/>
      <c r="L31" s="14"/>
      <c r="M31" s="14"/>
      <c r="N31" s="14"/>
    </row>
    <row r="32" ht="37.5" customHeight="1">
      <c r="A32" s="11">
        <v>30.0</v>
      </c>
      <c r="B32" s="14"/>
      <c r="C32" s="11" t="s">
        <v>911</v>
      </c>
      <c r="D32" s="14"/>
      <c r="E32" s="14"/>
      <c r="F32" s="14"/>
      <c r="G32" s="114"/>
      <c r="H32" s="114"/>
      <c r="I32" s="14"/>
      <c r="J32" s="14"/>
      <c r="K32" s="231" t="s">
        <v>12</v>
      </c>
      <c r="L32" s="14"/>
      <c r="M32" s="14"/>
      <c r="N32" s="14"/>
    </row>
    <row r="33" ht="37.5" customHeight="1">
      <c r="A33" s="11">
        <v>31.0</v>
      </c>
      <c r="B33" s="14"/>
      <c r="C33" s="11" t="s">
        <v>911</v>
      </c>
      <c r="D33" s="14"/>
      <c r="E33" s="14"/>
      <c r="F33" s="14"/>
      <c r="G33" s="114"/>
      <c r="H33" s="114"/>
      <c r="I33" s="114"/>
      <c r="J33" s="14"/>
      <c r="K33" s="231" t="s">
        <v>12</v>
      </c>
      <c r="L33" s="114"/>
      <c r="M33" s="14"/>
      <c r="N33" s="14"/>
    </row>
    <row r="34" ht="37.5" customHeight="1">
      <c r="A34" s="11">
        <v>32.0</v>
      </c>
      <c r="B34" s="14"/>
      <c r="C34" s="11" t="s">
        <v>911</v>
      </c>
      <c r="D34" s="14"/>
      <c r="E34" s="14"/>
      <c r="F34" s="14"/>
      <c r="G34" s="14"/>
      <c r="H34" s="14"/>
      <c r="I34" s="14"/>
      <c r="J34" s="14"/>
      <c r="K34" s="232"/>
      <c r="L34" s="14"/>
      <c r="M34" s="14"/>
      <c r="N34" s="14"/>
    </row>
    <row r="35" ht="37.5" customHeight="1">
      <c r="A35" s="11">
        <v>33.0</v>
      </c>
      <c r="B35" s="14"/>
      <c r="C35" s="11" t="s">
        <v>911</v>
      </c>
      <c r="D35" s="14"/>
      <c r="E35" s="14"/>
      <c r="F35" s="14"/>
      <c r="G35" s="114"/>
      <c r="H35" s="114"/>
      <c r="I35" s="114"/>
      <c r="J35" s="14"/>
      <c r="K35" s="231" t="s">
        <v>12</v>
      </c>
      <c r="L35" s="114"/>
      <c r="M35" s="14"/>
      <c r="N35" s="14"/>
    </row>
    <row r="36" ht="37.5" customHeight="1">
      <c r="A36" s="11">
        <v>34.0</v>
      </c>
      <c r="B36" s="14"/>
      <c r="C36" s="11" t="s">
        <v>911</v>
      </c>
      <c r="D36" s="14"/>
      <c r="E36" s="14"/>
      <c r="F36" s="14"/>
      <c r="G36" s="14"/>
      <c r="H36" s="114"/>
      <c r="I36" s="114"/>
      <c r="J36" s="114"/>
      <c r="K36" s="231" t="s">
        <v>12</v>
      </c>
      <c r="L36" s="14"/>
      <c r="M36" s="14"/>
      <c r="N36" s="14"/>
    </row>
    <row r="37" ht="37.5" customHeight="1">
      <c r="A37" s="11">
        <v>35.0</v>
      </c>
      <c r="B37" s="14"/>
      <c r="C37" s="11" t="s">
        <v>911</v>
      </c>
      <c r="D37" s="14"/>
      <c r="E37" s="14"/>
      <c r="F37" s="14"/>
      <c r="G37" s="14"/>
      <c r="H37" s="14"/>
      <c r="I37" s="14"/>
      <c r="J37" s="14"/>
      <c r="K37" s="231" t="s">
        <v>12</v>
      </c>
      <c r="L37" s="14"/>
      <c r="M37" s="14"/>
      <c r="N37" s="14"/>
    </row>
    <row r="38" ht="37.5" customHeight="1">
      <c r="A38" s="11">
        <v>36.0</v>
      </c>
      <c r="B38" s="14"/>
      <c r="C38" s="11" t="s">
        <v>911</v>
      </c>
      <c r="D38" s="114"/>
      <c r="E38" s="114"/>
      <c r="F38" s="14"/>
      <c r="G38" s="114"/>
      <c r="H38" s="14"/>
      <c r="I38" s="14"/>
      <c r="J38" s="14"/>
      <c r="K38" s="231" t="s">
        <v>12</v>
      </c>
      <c r="L38" s="114"/>
      <c r="M38" s="114"/>
      <c r="N38" s="14"/>
    </row>
    <row r="39" ht="37.5" customHeight="1">
      <c r="A39" s="11">
        <v>37.0</v>
      </c>
      <c r="B39" s="14"/>
      <c r="C39" s="11" t="s">
        <v>911</v>
      </c>
      <c r="D39" s="14"/>
      <c r="E39" s="14"/>
      <c r="F39" s="14"/>
      <c r="G39" s="114"/>
      <c r="H39" s="14"/>
      <c r="I39" s="114"/>
      <c r="J39" s="14"/>
      <c r="K39" s="231" t="s">
        <v>12</v>
      </c>
      <c r="L39" s="114"/>
      <c r="M39" s="14"/>
      <c r="N39" s="14"/>
    </row>
    <row r="40" ht="37.5" customHeight="1">
      <c r="A40" s="11">
        <v>38.0</v>
      </c>
      <c r="B40" s="14"/>
      <c r="C40" s="11" t="s">
        <v>911</v>
      </c>
      <c r="D40" s="14"/>
      <c r="E40" s="14"/>
      <c r="F40" s="14"/>
      <c r="G40" s="14"/>
      <c r="H40" s="114"/>
      <c r="I40" s="14"/>
      <c r="J40" s="14"/>
      <c r="K40" s="231" t="s">
        <v>12</v>
      </c>
      <c r="L40" s="14"/>
      <c r="M40" s="14"/>
      <c r="N40" s="14"/>
    </row>
    <row r="41" ht="37.5" customHeight="1">
      <c r="A41" s="11">
        <v>1.0</v>
      </c>
      <c r="B41" s="129"/>
      <c r="C41" s="204" t="s">
        <v>5236</v>
      </c>
      <c r="D41" s="114"/>
      <c r="E41" s="114"/>
      <c r="F41" s="114"/>
      <c r="G41" s="114"/>
      <c r="H41" s="114"/>
      <c r="I41" s="114"/>
      <c r="J41" s="114"/>
      <c r="K41" s="231" t="s">
        <v>12</v>
      </c>
      <c r="L41" s="114"/>
      <c r="M41" s="114"/>
      <c r="N41" s="114"/>
    </row>
    <row r="42" ht="37.5" customHeight="1">
      <c r="A42" s="11">
        <v>2.0</v>
      </c>
      <c r="B42" s="129"/>
      <c r="C42" s="204" t="s">
        <v>5236</v>
      </c>
      <c r="D42" s="114"/>
      <c r="E42" s="114"/>
      <c r="F42" s="114"/>
      <c r="G42" s="114"/>
      <c r="H42" s="114"/>
      <c r="I42" s="114"/>
      <c r="J42" s="114"/>
      <c r="K42" s="231" t="s">
        <v>12</v>
      </c>
      <c r="L42" s="114"/>
      <c r="M42" s="114"/>
      <c r="N42" s="114"/>
    </row>
    <row r="43" ht="37.5" customHeight="1">
      <c r="A43" s="11">
        <v>3.0</v>
      </c>
      <c r="B43" s="129"/>
      <c r="C43" s="204" t="s">
        <v>5236</v>
      </c>
      <c r="D43" s="114"/>
      <c r="E43" s="114"/>
      <c r="F43" s="114"/>
      <c r="G43" s="114"/>
      <c r="H43" s="14"/>
      <c r="I43" s="114"/>
      <c r="J43" s="114"/>
      <c r="K43" s="231" t="s">
        <v>12</v>
      </c>
      <c r="L43" s="14"/>
      <c r="M43" s="114"/>
      <c r="N43" s="114"/>
    </row>
    <row r="44" ht="37.5" customHeight="1">
      <c r="A44" s="11">
        <v>4.0</v>
      </c>
      <c r="B44" s="129"/>
      <c r="C44" s="204" t="s">
        <v>5236</v>
      </c>
      <c r="D44" s="114"/>
      <c r="E44" s="114"/>
      <c r="F44" s="114"/>
      <c r="G44" s="114"/>
      <c r="H44" s="114"/>
      <c r="I44" s="14"/>
      <c r="J44" s="14"/>
      <c r="K44" s="231" t="s">
        <v>12</v>
      </c>
      <c r="L44" s="114"/>
      <c r="M44" s="114"/>
      <c r="N44" s="114"/>
    </row>
    <row r="45" ht="37.5" customHeight="1">
      <c r="A45" s="11">
        <v>5.0</v>
      </c>
      <c r="B45" s="129"/>
      <c r="C45" s="204" t="s">
        <v>5236</v>
      </c>
      <c r="D45" s="114"/>
      <c r="E45" s="114"/>
      <c r="F45" s="114"/>
      <c r="G45" s="114"/>
      <c r="H45" s="14"/>
      <c r="I45" s="114"/>
      <c r="J45" s="114"/>
      <c r="K45" s="231" t="s">
        <v>12</v>
      </c>
      <c r="L45" s="114"/>
      <c r="M45" s="114"/>
      <c r="N45" s="114"/>
    </row>
    <row r="46" ht="37.5" customHeight="1">
      <c r="A46" s="11">
        <v>6.0</v>
      </c>
      <c r="B46" s="129"/>
      <c r="C46" s="204" t="s">
        <v>5236</v>
      </c>
      <c r="D46" s="114"/>
      <c r="E46" s="114"/>
      <c r="F46" s="114"/>
      <c r="G46" s="114"/>
      <c r="H46" s="114"/>
      <c r="I46" s="114"/>
      <c r="J46" s="14"/>
      <c r="K46" s="231" t="s">
        <v>12</v>
      </c>
      <c r="L46" s="114"/>
      <c r="M46" s="114"/>
      <c r="N46" s="114"/>
    </row>
    <row r="47" ht="37.5" customHeight="1">
      <c r="A47" s="11">
        <v>7.0</v>
      </c>
      <c r="B47" s="129"/>
      <c r="C47" s="204" t="s">
        <v>5236</v>
      </c>
      <c r="D47" s="114"/>
      <c r="E47" s="114"/>
      <c r="F47" s="114"/>
      <c r="G47" s="114"/>
      <c r="H47" s="114"/>
      <c r="I47" s="114"/>
      <c r="J47" s="114"/>
      <c r="K47" s="231" t="s">
        <v>12</v>
      </c>
      <c r="L47" s="114"/>
      <c r="M47" s="114"/>
      <c r="N47" s="114"/>
    </row>
    <row r="48" ht="37.5" customHeight="1">
      <c r="A48" s="11">
        <v>8.0</v>
      </c>
      <c r="B48" s="129"/>
      <c r="C48" s="204" t="s">
        <v>5236</v>
      </c>
      <c r="D48" s="114"/>
      <c r="E48" s="114"/>
      <c r="F48" s="114"/>
      <c r="G48" s="114"/>
      <c r="H48" s="114"/>
      <c r="I48" s="114"/>
      <c r="J48" s="114"/>
      <c r="K48" s="231" t="s">
        <v>12</v>
      </c>
      <c r="L48" s="114"/>
      <c r="M48" s="114"/>
      <c r="N48" s="114"/>
    </row>
    <row r="49" ht="37.5" customHeight="1">
      <c r="A49" s="11">
        <v>9.0</v>
      </c>
      <c r="B49" s="129"/>
      <c r="C49" s="204" t="s">
        <v>5236</v>
      </c>
      <c r="D49" s="114"/>
      <c r="E49" s="114"/>
      <c r="F49" s="114"/>
      <c r="G49" s="114"/>
      <c r="H49" s="114"/>
      <c r="I49" s="14"/>
      <c r="J49" s="114"/>
      <c r="K49" s="231" t="s">
        <v>12</v>
      </c>
      <c r="L49" s="114"/>
      <c r="M49" s="114"/>
      <c r="N49" s="114"/>
    </row>
    <row r="50" ht="37.5" customHeight="1">
      <c r="A50" s="11">
        <v>10.0</v>
      </c>
      <c r="B50" s="129"/>
      <c r="C50" s="204" t="s">
        <v>5236</v>
      </c>
      <c r="D50" s="114"/>
      <c r="E50" s="114"/>
      <c r="F50" s="114"/>
      <c r="G50" s="114"/>
      <c r="H50" s="114"/>
      <c r="I50" s="114"/>
      <c r="J50" s="14"/>
      <c r="K50" s="231" t="s">
        <v>12</v>
      </c>
      <c r="L50" s="114"/>
      <c r="M50" s="114"/>
      <c r="N50" s="114"/>
    </row>
    <row r="51" ht="37.5" customHeight="1">
      <c r="A51" s="11">
        <v>11.0</v>
      </c>
      <c r="B51" s="129"/>
      <c r="C51" s="204" t="s">
        <v>5236</v>
      </c>
      <c r="D51" s="114"/>
      <c r="E51" s="114"/>
      <c r="F51" s="114"/>
      <c r="G51" s="114"/>
      <c r="H51" s="114"/>
      <c r="I51" s="114"/>
      <c r="J51" s="114"/>
      <c r="K51" s="231" t="s">
        <v>12</v>
      </c>
      <c r="L51" s="14"/>
      <c r="M51" s="114"/>
      <c r="N51" s="114"/>
    </row>
    <row r="52" ht="37.5" customHeight="1">
      <c r="A52" s="11">
        <v>12.0</v>
      </c>
      <c r="B52" s="129"/>
      <c r="C52" s="204" t="s">
        <v>5236</v>
      </c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</row>
    <row r="53" ht="37.5" customHeight="1">
      <c r="A53" s="11">
        <v>13.0</v>
      </c>
      <c r="B53" s="129"/>
      <c r="C53" s="204" t="s">
        <v>5236</v>
      </c>
      <c r="D53" s="114"/>
      <c r="E53" s="114"/>
      <c r="F53" s="114"/>
      <c r="G53" s="114"/>
      <c r="H53" s="114"/>
      <c r="I53" s="114"/>
      <c r="J53" s="14"/>
      <c r="K53" s="231" t="s">
        <v>12</v>
      </c>
      <c r="L53" s="114"/>
      <c r="M53" s="114"/>
      <c r="N53" s="114"/>
    </row>
    <row r="54" ht="37.5" customHeight="1">
      <c r="A54" s="11">
        <v>14.0</v>
      </c>
      <c r="B54" s="129"/>
      <c r="C54" s="204" t="s">
        <v>5236</v>
      </c>
      <c r="D54" s="114"/>
      <c r="E54" s="114"/>
      <c r="F54" s="114"/>
      <c r="G54" s="114"/>
      <c r="H54" s="114"/>
      <c r="I54" s="114"/>
      <c r="J54" s="114"/>
      <c r="K54" s="231" t="s">
        <v>12</v>
      </c>
      <c r="L54" s="14"/>
      <c r="M54" s="114"/>
      <c r="N54" s="114"/>
    </row>
    <row r="55" ht="37.5" customHeight="1">
      <c r="A55" s="11">
        <v>15.0</v>
      </c>
      <c r="B55" s="129"/>
      <c r="C55" s="204" t="s">
        <v>5236</v>
      </c>
      <c r="D55" s="114"/>
      <c r="E55" s="114"/>
      <c r="F55" s="114"/>
      <c r="G55" s="14"/>
      <c r="H55" s="114"/>
      <c r="I55" s="114"/>
      <c r="J55" s="114"/>
      <c r="K55" s="231" t="s">
        <v>12</v>
      </c>
      <c r="L55" s="114"/>
      <c r="M55" s="114"/>
      <c r="N55" s="114"/>
    </row>
    <row r="56" ht="37.5" customHeight="1">
      <c r="A56" s="11">
        <v>16.0</v>
      </c>
      <c r="B56" s="129"/>
      <c r="C56" s="204" t="s">
        <v>5236</v>
      </c>
      <c r="D56" s="114"/>
      <c r="E56" s="114"/>
      <c r="F56" s="114"/>
      <c r="G56" s="114"/>
      <c r="H56" s="114"/>
      <c r="I56" s="114"/>
      <c r="J56" s="114"/>
      <c r="K56" s="231" t="s">
        <v>12</v>
      </c>
      <c r="L56" s="14"/>
      <c r="M56" s="114"/>
      <c r="N56" s="114"/>
    </row>
    <row r="57" ht="37.5" customHeight="1">
      <c r="A57" s="11">
        <v>17.0</v>
      </c>
      <c r="B57" s="129"/>
      <c r="C57" s="204" t="s">
        <v>5236</v>
      </c>
      <c r="D57" s="114"/>
      <c r="E57" s="114"/>
      <c r="F57" s="114"/>
      <c r="G57" s="114"/>
      <c r="H57" s="114"/>
      <c r="I57" s="114"/>
      <c r="J57" s="114"/>
      <c r="K57" s="231" t="s">
        <v>12</v>
      </c>
      <c r="L57" s="114"/>
      <c r="M57" s="114"/>
      <c r="N57" s="114"/>
    </row>
    <row r="58" ht="37.5" customHeight="1">
      <c r="A58" s="11">
        <v>18.0</v>
      </c>
      <c r="B58" s="129"/>
      <c r="C58" s="204" t="s">
        <v>5236</v>
      </c>
      <c r="D58" s="114"/>
      <c r="E58" s="114"/>
      <c r="F58" s="114"/>
      <c r="G58" s="114"/>
      <c r="H58" s="114"/>
      <c r="I58" s="114"/>
      <c r="J58" s="114"/>
      <c r="K58" s="231" t="s">
        <v>12</v>
      </c>
      <c r="L58" s="14"/>
      <c r="M58" s="114"/>
      <c r="N58" s="114"/>
    </row>
    <row r="59" ht="37.5" customHeight="1">
      <c r="A59" s="11">
        <v>19.0</v>
      </c>
      <c r="B59" s="129"/>
      <c r="C59" s="204" t="s">
        <v>5236</v>
      </c>
      <c r="D59" s="114"/>
      <c r="E59" s="114"/>
      <c r="F59" s="114"/>
      <c r="G59" s="14"/>
      <c r="H59" s="14"/>
      <c r="I59" s="114"/>
      <c r="J59" s="114"/>
      <c r="K59" s="231" t="s">
        <v>12</v>
      </c>
      <c r="L59" s="114"/>
      <c r="M59" s="114"/>
      <c r="N59" s="114"/>
    </row>
    <row r="60" ht="37.5" customHeight="1">
      <c r="A60" s="11">
        <v>20.0</v>
      </c>
      <c r="B60" s="129"/>
      <c r="C60" s="204" t="s">
        <v>5236</v>
      </c>
      <c r="D60" s="114"/>
      <c r="E60" s="114"/>
      <c r="F60" s="114"/>
      <c r="G60" s="14"/>
      <c r="H60" s="114"/>
      <c r="I60" s="114"/>
      <c r="J60" s="114"/>
      <c r="K60" s="231" t="s">
        <v>12</v>
      </c>
      <c r="L60" s="114"/>
      <c r="M60" s="114"/>
      <c r="N60" s="114"/>
    </row>
    <row r="61" ht="37.5" customHeight="1">
      <c r="A61" s="11">
        <v>21.0</v>
      </c>
      <c r="B61" s="129"/>
      <c r="C61" s="204" t="s">
        <v>5236</v>
      </c>
      <c r="D61" s="114"/>
      <c r="E61" s="114"/>
      <c r="F61" s="114"/>
      <c r="G61" s="114"/>
      <c r="H61" s="114"/>
      <c r="I61" s="114"/>
      <c r="J61" s="114"/>
      <c r="K61" s="231" t="s">
        <v>12</v>
      </c>
      <c r="L61" s="14"/>
      <c r="M61" s="114"/>
      <c r="N61" s="114"/>
    </row>
    <row r="62" ht="37.5" customHeight="1">
      <c r="A62" s="11">
        <v>22.0</v>
      </c>
      <c r="B62" s="129"/>
      <c r="C62" s="204" t="s">
        <v>5236</v>
      </c>
      <c r="D62" s="114"/>
      <c r="E62" s="114"/>
      <c r="F62" s="114"/>
      <c r="G62" s="114"/>
      <c r="H62" s="114"/>
      <c r="I62" s="114"/>
      <c r="J62" s="114"/>
      <c r="K62" s="231" t="s">
        <v>12</v>
      </c>
      <c r="L62" s="14"/>
      <c r="M62" s="114"/>
      <c r="N62" s="114"/>
    </row>
    <row r="63" ht="37.5" customHeight="1">
      <c r="A63" s="11">
        <v>23.0</v>
      </c>
      <c r="B63" s="129"/>
      <c r="C63" s="204" t="s">
        <v>5236</v>
      </c>
      <c r="D63" s="114"/>
      <c r="E63" s="114"/>
      <c r="F63" s="114"/>
      <c r="G63" s="114"/>
      <c r="H63" s="114"/>
      <c r="I63" s="114"/>
      <c r="J63" s="114"/>
      <c r="K63" s="231" t="s">
        <v>12</v>
      </c>
      <c r="L63" s="14"/>
      <c r="M63" s="114"/>
      <c r="N63" s="114"/>
    </row>
    <row r="64" ht="37.5" customHeight="1">
      <c r="A64" s="11">
        <v>24.0</v>
      </c>
      <c r="B64" s="129"/>
      <c r="C64" s="204" t="s">
        <v>5236</v>
      </c>
      <c r="D64" s="114"/>
      <c r="E64" s="114"/>
      <c r="F64" s="114"/>
      <c r="G64" s="114"/>
      <c r="H64" s="114"/>
      <c r="I64" s="114"/>
      <c r="J64" s="114"/>
      <c r="K64" s="231" t="s">
        <v>12</v>
      </c>
      <c r="L64" s="114"/>
      <c r="M64" s="114"/>
      <c r="N64" s="114"/>
    </row>
    <row r="65" ht="37.5" customHeight="1">
      <c r="A65" s="11">
        <v>25.0</v>
      </c>
      <c r="B65" s="129"/>
      <c r="C65" s="204" t="s">
        <v>5236</v>
      </c>
      <c r="D65" s="114"/>
      <c r="E65" s="114"/>
      <c r="F65" s="114"/>
      <c r="G65" s="114"/>
      <c r="H65" s="114"/>
      <c r="I65" s="114"/>
      <c r="J65" s="114"/>
      <c r="K65" s="231" t="s">
        <v>12</v>
      </c>
      <c r="L65" s="114"/>
      <c r="M65" s="114"/>
      <c r="N65" s="114"/>
    </row>
    <row r="66" ht="37.5" customHeight="1">
      <c r="A66" s="11">
        <v>26.0</v>
      </c>
      <c r="B66" s="129"/>
      <c r="C66" s="204" t="s">
        <v>5236</v>
      </c>
      <c r="D66" s="114"/>
      <c r="E66" s="114"/>
      <c r="F66" s="114"/>
      <c r="G66" s="114"/>
      <c r="H66" s="114"/>
      <c r="I66" s="114"/>
      <c r="J66" s="114"/>
      <c r="K66" s="231" t="s">
        <v>12</v>
      </c>
      <c r="L66" s="14"/>
      <c r="M66" s="114"/>
      <c r="N66" s="114"/>
    </row>
    <row r="67" ht="37.5" customHeight="1">
      <c r="A67" s="11">
        <v>27.0</v>
      </c>
      <c r="B67" s="129"/>
      <c r="C67" s="204" t="s">
        <v>5236</v>
      </c>
      <c r="D67" s="114"/>
      <c r="E67" s="114"/>
      <c r="F67" s="114"/>
      <c r="G67" s="114"/>
      <c r="H67" s="114"/>
      <c r="I67" s="14"/>
      <c r="J67" s="114"/>
      <c r="K67" s="231" t="s">
        <v>12</v>
      </c>
      <c r="L67" s="114"/>
      <c r="M67" s="114"/>
      <c r="N67" s="114"/>
    </row>
    <row r="68" ht="37.5" customHeight="1">
      <c r="A68" s="11">
        <v>28.0</v>
      </c>
      <c r="B68" s="129"/>
      <c r="C68" s="204" t="s">
        <v>5236</v>
      </c>
      <c r="D68" s="114"/>
      <c r="E68" s="114"/>
      <c r="F68" s="114"/>
      <c r="G68" s="114"/>
      <c r="H68" s="114"/>
      <c r="I68" s="14"/>
      <c r="J68" s="114"/>
      <c r="K68" s="231" t="s">
        <v>12</v>
      </c>
      <c r="L68" s="114"/>
      <c r="M68" s="114"/>
      <c r="N68" s="114"/>
    </row>
    <row r="69" ht="37.5" customHeight="1">
      <c r="A69" s="11">
        <v>29.0</v>
      </c>
      <c r="B69" s="129"/>
      <c r="C69" s="204" t="s">
        <v>5236</v>
      </c>
      <c r="D69" s="114"/>
      <c r="E69" s="114"/>
      <c r="F69" s="114"/>
      <c r="G69" s="14"/>
      <c r="H69" s="114"/>
      <c r="I69" s="114"/>
      <c r="J69" s="114"/>
      <c r="K69" s="231" t="s">
        <v>12</v>
      </c>
      <c r="L69" s="14"/>
      <c r="M69" s="114"/>
      <c r="N69" s="114"/>
    </row>
    <row r="70" ht="37.5" customHeight="1">
      <c r="A70" s="11">
        <v>30.0</v>
      </c>
      <c r="B70" s="129"/>
      <c r="C70" s="204" t="s">
        <v>5236</v>
      </c>
      <c r="D70" s="114"/>
      <c r="E70" s="114"/>
      <c r="F70" s="114"/>
      <c r="G70" s="114"/>
      <c r="H70" s="114"/>
      <c r="I70" s="114"/>
      <c r="J70" s="114"/>
      <c r="K70" s="231" t="s">
        <v>12</v>
      </c>
      <c r="L70" s="14"/>
      <c r="M70" s="114"/>
      <c r="N70" s="114"/>
    </row>
    <row r="71" ht="37.5" customHeight="1">
      <c r="A71" s="11">
        <v>31.0</v>
      </c>
      <c r="B71" s="129"/>
      <c r="C71" s="204" t="s">
        <v>5236</v>
      </c>
      <c r="D71" s="114"/>
      <c r="E71" s="114"/>
      <c r="F71" s="114"/>
      <c r="G71" s="114"/>
      <c r="H71" s="114"/>
      <c r="I71" s="114"/>
      <c r="J71" s="14"/>
      <c r="K71" s="231" t="s">
        <v>12</v>
      </c>
      <c r="L71" s="114"/>
      <c r="M71" s="114"/>
      <c r="N71" s="114"/>
    </row>
    <row r="72" ht="37.5" customHeight="1">
      <c r="A72" s="11">
        <v>32.0</v>
      </c>
      <c r="B72" s="129"/>
      <c r="C72" s="204" t="s">
        <v>5236</v>
      </c>
      <c r="D72" s="114"/>
      <c r="E72" s="114"/>
      <c r="F72" s="114"/>
      <c r="G72" s="14"/>
      <c r="H72" s="114"/>
      <c r="I72" s="114"/>
      <c r="J72" s="114"/>
      <c r="K72" s="231" t="s">
        <v>12</v>
      </c>
      <c r="L72" s="14"/>
      <c r="M72" s="114"/>
      <c r="N72" s="114"/>
    </row>
    <row r="73" ht="37.5" customHeight="1">
      <c r="A73" s="11">
        <v>33.0</v>
      </c>
      <c r="B73" s="129"/>
      <c r="C73" s="204" t="s">
        <v>5236</v>
      </c>
      <c r="D73" s="114"/>
      <c r="E73" s="114"/>
      <c r="F73" s="114"/>
      <c r="G73" s="14"/>
      <c r="H73" s="114"/>
      <c r="I73" s="114"/>
      <c r="J73" s="14"/>
      <c r="K73" s="231" t="s">
        <v>12</v>
      </c>
      <c r="L73" s="14"/>
      <c r="M73" s="114"/>
      <c r="N73" s="114"/>
    </row>
    <row r="74" ht="37.5" customHeight="1">
      <c r="A74" s="11">
        <v>34.0</v>
      </c>
      <c r="B74" s="129"/>
      <c r="C74" s="204" t="s">
        <v>5236</v>
      </c>
      <c r="D74" s="114"/>
      <c r="E74" s="114"/>
      <c r="F74" s="114"/>
      <c r="G74" s="114"/>
      <c r="H74" s="114"/>
      <c r="I74" s="114"/>
      <c r="J74" s="114"/>
      <c r="K74" s="231" t="s">
        <v>12</v>
      </c>
      <c r="L74" s="114"/>
      <c r="M74" s="114"/>
      <c r="N74" s="114"/>
    </row>
    <row r="75" ht="37.5" customHeight="1">
      <c r="A75" s="11">
        <v>35.0</v>
      </c>
      <c r="B75" s="129"/>
      <c r="C75" s="204" t="s">
        <v>5236</v>
      </c>
      <c r="D75" s="114"/>
      <c r="E75" s="114"/>
      <c r="F75" s="114"/>
      <c r="G75" s="14"/>
      <c r="H75" s="114"/>
      <c r="I75" s="114"/>
      <c r="J75" s="14"/>
      <c r="K75" s="231" t="s">
        <v>12</v>
      </c>
      <c r="L75" s="14"/>
      <c r="M75" s="114"/>
      <c r="N75" s="114"/>
    </row>
    <row r="76" ht="37.5" customHeight="1">
      <c r="A76" s="11">
        <v>36.0</v>
      </c>
      <c r="B76" s="129"/>
      <c r="C76" s="204" t="s">
        <v>5236</v>
      </c>
      <c r="D76" s="114"/>
      <c r="E76" s="114"/>
      <c r="F76" s="114"/>
      <c r="G76" s="14"/>
      <c r="H76" s="114"/>
      <c r="I76" s="114"/>
      <c r="J76" s="114"/>
      <c r="K76" s="231" t="s">
        <v>12</v>
      </c>
      <c r="L76" s="14"/>
      <c r="M76" s="114"/>
      <c r="N76" s="114"/>
    </row>
    <row r="77" ht="37.5" customHeight="1">
      <c r="A77" s="11">
        <v>37.0</v>
      </c>
      <c r="B77" s="129"/>
      <c r="C77" s="204" t="s">
        <v>5236</v>
      </c>
      <c r="D77" s="114"/>
      <c r="E77" s="114"/>
      <c r="F77" s="114"/>
      <c r="G77" s="14"/>
      <c r="H77" s="14"/>
      <c r="I77" s="114"/>
      <c r="J77" s="14"/>
      <c r="K77" s="231" t="s">
        <v>12</v>
      </c>
      <c r="L77" s="114"/>
      <c r="M77" s="114"/>
      <c r="N77" s="114"/>
    </row>
    <row r="78" ht="37.5" customHeight="1">
      <c r="A78" s="11">
        <v>38.0</v>
      </c>
      <c r="B78" s="129"/>
      <c r="C78" s="204" t="s">
        <v>5236</v>
      </c>
      <c r="D78" s="114"/>
      <c r="E78" s="114"/>
      <c r="F78" s="114"/>
      <c r="G78" s="14"/>
      <c r="H78" s="114"/>
      <c r="I78" s="114"/>
      <c r="J78" s="14"/>
      <c r="K78" s="231" t="s">
        <v>12</v>
      </c>
      <c r="L78" s="14"/>
      <c r="M78" s="114"/>
      <c r="N78" s="114"/>
    </row>
    <row r="79" ht="37.5" customHeight="1">
      <c r="A79" s="11">
        <v>39.0</v>
      </c>
      <c r="B79" s="129"/>
      <c r="C79" s="204" t="s">
        <v>5236</v>
      </c>
      <c r="D79" s="114"/>
      <c r="E79" s="114"/>
      <c r="F79" s="114"/>
      <c r="G79" s="14"/>
      <c r="H79" s="114"/>
      <c r="I79" s="114"/>
      <c r="J79" s="114"/>
      <c r="K79" s="231" t="s">
        <v>12</v>
      </c>
      <c r="L79" s="14"/>
      <c r="M79" s="114"/>
      <c r="N79" s="114"/>
    </row>
    <row r="80" ht="37.5" customHeight="1">
      <c r="A80" s="11">
        <v>40.0</v>
      </c>
      <c r="B80" s="129"/>
      <c r="C80" s="204" t="s">
        <v>5236</v>
      </c>
      <c r="D80" s="114"/>
      <c r="E80" s="114"/>
      <c r="F80" s="114"/>
      <c r="G80" s="14"/>
      <c r="H80" s="14"/>
      <c r="I80" s="114"/>
      <c r="J80" s="114"/>
      <c r="K80" s="231" t="s">
        <v>12</v>
      </c>
      <c r="L80" s="14"/>
      <c r="M80" s="114"/>
      <c r="N80" s="114"/>
    </row>
    <row r="81" ht="37.5" customHeight="1">
      <c r="A81" s="11">
        <v>41.0</v>
      </c>
      <c r="B81" s="129"/>
      <c r="C81" s="204" t="s">
        <v>5236</v>
      </c>
      <c r="D81" s="114"/>
      <c r="E81" s="114"/>
      <c r="F81" s="114"/>
      <c r="G81" s="14"/>
      <c r="H81" s="114"/>
      <c r="I81" s="114"/>
      <c r="J81" s="14"/>
      <c r="K81" s="231" t="s">
        <v>12</v>
      </c>
      <c r="L81" s="14"/>
      <c r="M81" s="114"/>
      <c r="N81" s="114"/>
    </row>
    <row r="82" ht="37.5" customHeight="1">
      <c r="A82" s="11">
        <v>42.0</v>
      </c>
      <c r="B82" s="129"/>
      <c r="C82" s="204" t="s">
        <v>5236</v>
      </c>
      <c r="D82" s="114"/>
      <c r="E82" s="114"/>
      <c r="F82" s="114"/>
      <c r="G82" s="14"/>
      <c r="H82" s="14"/>
      <c r="I82" s="114"/>
      <c r="J82" s="114"/>
      <c r="K82" s="231" t="s">
        <v>12</v>
      </c>
      <c r="L82" s="14"/>
      <c r="M82" s="114"/>
      <c r="N82" s="114"/>
    </row>
    <row r="83" ht="37.5" customHeight="1">
      <c r="A83" s="11">
        <v>1.0</v>
      </c>
      <c r="B83" s="14"/>
      <c r="C83" s="11" t="s">
        <v>5239</v>
      </c>
      <c r="D83" s="14"/>
      <c r="E83" s="14"/>
      <c r="F83" s="114"/>
      <c r="G83" s="114"/>
      <c r="H83" s="114"/>
      <c r="I83" s="114"/>
      <c r="J83" s="14"/>
      <c r="K83" s="231" t="s">
        <v>12</v>
      </c>
      <c r="L83" s="114"/>
      <c r="M83" s="114"/>
      <c r="N83" s="14"/>
    </row>
    <row r="84" ht="37.5" customHeight="1">
      <c r="A84" s="11">
        <v>2.0</v>
      </c>
      <c r="B84" s="14"/>
      <c r="C84" s="11" t="s">
        <v>5239</v>
      </c>
      <c r="D84" s="14"/>
      <c r="E84" s="14"/>
      <c r="F84" s="14"/>
      <c r="G84" s="114"/>
      <c r="H84" s="14"/>
      <c r="I84" s="114"/>
      <c r="J84" s="114"/>
      <c r="K84" s="231" t="s">
        <v>12</v>
      </c>
      <c r="L84" s="14"/>
      <c r="M84" s="14"/>
      <c r="N84" s="14"/>
    </row>
    <row r="85" ht="37.5" customHeight="1">
      <c r="A85" s="11">
        <v>3.0</v>
      </c>
      <c r="B85" s="14"/>
      <c r="C85" s="11" t="s">
        <v>5239</v>
      </c>
      <c r="D85" s="14"/>
      <c r="E85" s="14"/>
      <c r="F85" s="114"/>
      <c r="G85" s="114"/>
      <c r="H85" s="14"/>
      <c r="I85" s="114"/>
      <c r="J85" s="114"/>
      <c r="K85" s="231" t="s">
        <v>12</v>
      </c>
      <c r="L85" s="114"/>
      <c r="M85" s="114"/>
      <c r="N85" s="14"/>
    </row>
    <row r="86" ht="37.5" customHeight="1">
      <c r="A86" s="11">
        <v>4.0</v>
      </c>
      <c r="B86" s="14"/>
      <c r="C86" s="11" t="s">
        <v>5239</v>
      </c>
      <c r="D86" s="14"/>
      <c r="E86" s="14"/>
      <c r="F86" s="14"/>
      <c r="G86" s="114"/>
      <c r="H86" s="114"/>
      <c r="I86" s="114"/>
      <c r="J86" s="114"/>
      <c r="K86" s="231" t="s">
        <v>12</v>
      </c>
      <c r="L86" s="14"/>
      <c r="M86" s="14"/>
      <c r="N86" s="14"/>
    </row>
    <row r="87" ht="37.5" customHeight="1">
      <c r="A87" s="11">
        <v>5.0</v>
      </c>
      <c r="B87" s="14"/>
      <c r="C87" s="11" t="s">
        <v>5239</v>
      </c>
      <c r="D87" s="14"/>
      <c r="E87" s="14"/>
      <c r="F87" s="14"/>
      <c r="G87" s="114"/>
      <c r="H87" s="14"/>
      <c r="I87" s="114"/>
      <c r="J87" s="114"/>
      <c r="K87" s="231" t="s">
        <v>12</v>
      </c>
      <c r="L87" s="14"/>
      <c r="M87" s="14"/>
      <c r="N87" s="14"/>
    </row>
    <row r="88" ht="37.5" customHeight="1">
      <c r="A88" s="11">
        <v>6.0</v>
      </c>
      <c r="B88" s="14"/>
      <c r="C88" s="11" t="s">
        <v>5239</v>
      </c>
      <c r="D88" s="14"/>
      <c r="E88" s="14"/>
      <c r="F88" s="114"/>
      <c r="G88" s="14"/>
      <c r="H88" s="114"/>
      <c r="I88" s="114"/>
      <c r="J88" s="14"/>
      <c r="K88" s="231" t="s">
        <v>12</v>
      </c>
      <c r="L88" s="114"/>
      <c r="M88" s="114"/>
      <c r="N88" s="14"/>
    </row>
    <row r="89" ht="37.5" customHeight="1">
      <c r="A89" s="11">
        <v>7.0</v>
      </c>
      <c r="B89" s="14"/>
      <c r="C89" s="11" t="s">
        <v>5239</v>
      </c>
      <c r="D89" s="14"/>
      <c r="E89" s="14"/>
      <c r="F89" s="14"/>
      <c r="G89" s="114"/>
      <c r="H89" s="14"/>
      <c r="I89" s="114"/>
      <c r="J89" s="114"/>
      <c r="K89" s="231" t="s">
        <v>12</v>
      </c>
      <c r="L89" s="14"/>
      <c r="M89" s="14"/>
      <c r="N89" s="14"/>
    </row>
    <row r="90" ht="37.5" customHeight="1">
      <c r="A90" s="11">
        <v>8.0</v>
      </c>
      <c r="B90" s="14"/>
      <c r="C90" s="11" t="s">
        <v>5239</v>
      </c>
      <c r="D90" s="14"/>
      <c r="E90" s="14"/>
      <c r="F90" s="114"/>
      <c r="G90" s="14"/>
      <c r="H90" s="114"/>
      <c r="I90" s="14"/>
      <c r="J90" s="114"/>
      <c r="K90" s="231" t="s">
        <v>12</v>
      </c>
      <c r="L90" s="114"/>
      <c r="M90" s="114"/>
      <c r="N90" s="14"/>
    </row>
    <row r="91" ht="37.5" customHeight="1">
      <c r="A91" s="11">
        <v>9.0</v>
      </c>
      <c r="B91" s="14"/>
      <c r="C91" s="11" t="s">
        <v>5239</v>
      </c>
      <c r="D91" s="14"/>
      <c r="E91" s="14"/>
      <c r="F91" s="14"/>
      <c r="G91" s="114"/>
      <c r="H91" s="14"/>
      <c r="I91" s="14"/>
      <c r="J91" s="114"/>
      <c r="K91" s="231" t="s">
        <v>12</v>
      </c>
      <c r="L91" s="14"/>
      <c r="M91" s="14"/>
      <c r="N91" s="14"/>
    </row>
    <row r="92" ht="37.5" customHeight="1">
      <c r="A92" s="11">
        <v>10.0</v>
      </c>
      <c r="B92" s="14"/>
      <c r="C92" s="11" t="s">
        <v>5239</v>
      </c>
      <c r="D92" s="14"/>
      <c r="E92" s="114"/>
      <c r="F92" s="114"/>
      <c r="G92" s="14"/>
      <c r="H92" s="14"/>
      <c r="I92" s="114"/>
      <c r="J92" s="114"/>
      <c r="K92" s="231" t="s">
        <v>12</v>
      </c>
      <c r="L92" s="114"/>
      <c r="M92" s="114"/>
      <c r="N92" s="14"/>
    </row>
    <row r="93" ht="37.5" customHeight="1">
      <c r="A93" s="11">
        <v>11.0</v>
      </c>
      <c r="B93" s="14"/>
      <c r="C93" s="11" t="s">
        <v>5239</v>
      </c>
      <c r="D93" s="14"/>
      <c r="E93" s="14"/>
      <c r="F93" s="14"/>
      <c r="G93" s="114"/>
      <c r="H93" s="114"/>
      <c r="I93" s="114"/>
      <c r="J93" s="14"/>
      <c r="K93" s="231" t="s">
        <v>12</v>
      </c>
      <c r="L93" s="114"/>
      <c r="M93" s="14"/>
      <c r="N93" s="14"/>
    </row>
    <row r="94" ht="37.5" customHeight="1">
      <c r="A94" s="11">
        <v>12.0</v>
      </c>
      <c r="B94" s="14"/>
      <c r="C94" s="11" t="s">
        <v>5239</v>
      </c>
      <c r="D94" s="14"/>
      <c r="E94" s="14"/>
      <c r="F94" s="14"/>
      <c r="G94" s="114"/>
      <c r="H94" s="114"/>
      <c r="I94" s="114"/>
      <c r="J94" s="114"/>
      <c r="K94" s="231" t="s">
        <v>12</v>
      </c>
      <c r="L94" s="14"/>
      <c r="M94" s="14"/>
      <c r="N94" s="14"/>
    </row>
    <row r="95" ht="37.5" customHeight="1">
      <c r="A95" s="11">
        <v>13.0</v>
      </c>
      <c r="B95" s="14"/>
      <c r="C95" s="11" t="s">
        <v>5239</v>
      </c>
      <c r="D95" s="14"/>
      <c r="E95" s="14"/>
      <c r="F95" s="14"/>
      <c r="G95" s="114"/>
      <c r="H95" s="14"/>
      <c r="I95" s="114"/>
      <c r="J95" s="114"/>
      <c r="K95" s="231" t="s">
        <v>12</v>
      </c>
      <c r="L95" s="114"/>
      <c r="M95" s="14"/>
      <c r="N95" s="14"/>
    </row>
    <row r="96" ht="37.5" customHeight="1">
      <c r="A96" s="11">
        <v>14.0</v>
      </c>
      <c r="B96" s="14"/>
      <c r="C96" s="11" t="s">
        <v>5239</v>
      </c>
      <c r="D96" s="14"/>
      <c r="E96" s="114"/>
      <c r="F96" s="114"/>
      <c r="G96" s="114"/>
      <c r="H96" s="114"/>
      <c r="I96" s="114"/>
      <c r="J96" s="14"/>
      <c r="K96" s="231" t="s">
        <v>12</v>
      </c>
      <c r="L96" s="114"/>
      <c r="M96" s="114"/>
      <c r="N96" s="14"/>
    </row>
    <row r="97" ht="37.5" customHeight="1">
      <c r="A97" s="11">
        <v>15.0</v>
      </c>
      <c r="B97" s="14"/>
      <c r="C97" s="11" t="s">
        <v>5239</v>
      </c>
      <c r="D97" s="14"/>
      <c r="E97" s="14"/>
      <c r="F97" s="14"/>
      <c r="G97" s="114"/>
      <c r="H97" s="14"/>
      <c r="I97" s="14"/>
      <c r="J97" s="114"/>
      <c r="K97" s="231" t="s">
        <v>12</v>
      </c>
      <c r="L97" s="114"/>
      <c r="M97" s="14"/>
      <c r="N97" s="14"/>
    </row>
    <row r="98" ht="37.5" customHeight="1">
      <c r="A98" s="11">
        <v>16.0</v>
      </c>
      <c r="B98" s="14"/>
      <c r="C98" s="11" t="s">
        <v>5239</v>
      </c>
      <c r="D98" s="14"/>
      <c r="E98" s="14"/>
      <c r="F98" s="14"/>
      <c r="G98" s="114"/>
      <c r="H98" s="114"/>
      <c r="I98" s="14"/>
      <c r="J98" s="114"/>
      <c r="K98" s="231" t="s">
        <v>12</v>
      </c>
      <c r="L98" s="114"/>
      <c r="M98" s="14"/>
      <c r="N98" s="14"/>
    </row>
    <row r="99" ht="37.5" customHeight="1">
      <c r="A99" s="11">
        <v>17.0</v>
      </c>
      <c r="B99" s="14"/>
      <c r="C99" s="11" t="s">
        <v>5239</v>
      </c>
      <c r="D99" s="14"/>
      <c r="E99" s="14"/>
      <c r="F99" s="14"/>
      <c r="G99" s="14"/>
      <c r="H99" s="114"/>
      <c r="I99" s="114"/>
      <c r="J99" s="14"/>
      <c r="K99" s="231" t="s">
        <v>12</v>
      </c>
      <c r="L99" s="14"/>
      <c r="M99" s="14"/>
      <c r="N99" s="14"/>
    </row>
    <row r="100" ht="37.5" customHeight="1">
      <c r="A100" s="11">
        <v>18.0</v>
      </c>
      <c r="B100" s="14"/>
      <c r="C100" s="11" t="s">
        <v>5239</v>
      </c>
      <c r="D100" s="14"/>
      <c r="E100" s="14"/>
      <c r="F100" s="14"/>
      <c r="G100" s="14"/>
      <c r="H100" s="114"/>
      <c r="I100" s="114"/>
      <c r="J100" s="114"/>
      <c r="K100" s="231" t="s">
        <v>12</v>
      </c>
      <c r="L100" s="14"/>
      <c r="M100" s="14"/>
      <c r="N100" s="14"/>
    </row>
    <row r="101" ht="37.5" customHeight="1">
      <c r="A101" s="11">
        <v>19.0</v>
      </c>
      <c r="B101" s="14"/>
      <c r="C101" s="11" t="s">
        <v>5239</v>
      </c>
      <c r="D101" s="14"/>
      <c r="E101" s="14"/>
      <c r="F101" s="14"/>
      <c r="G101" s="14"/>
      <c r="H101" s="114"/>
      <c r="I101" s="114"/>
      <c r="J101" s="114"/>
      <c r="K101" s="231" t="s">
        <v>12</v>
      </c>
      <c r="L101" s="14"/>
      <c r="M101" s="14"/>
      <c r="N101" s="14"/>
    </row>
    <row r="102" ht="37.5" customHeight="1">
      <c r="A102" s="11">
        <v>20.0</v>
      </c>
      <c r="B102" s="14"/>
      <c r="C102" s="11" t="s">
        <v>5239</v>
      </c>
      <c r="D102" s="14"/>
      <c r="E102" s="14"/>
      <c r="F102" s="114"/>
      <c r="G102" s="114"/>
      <c r="H102" s="114"/>
      <c r="I102" s="14"/>
      <c r="J102" s="14"/>
      <c r="K102" s="231" t="s">
        <v>12</v>
      </c>
      <c r="L102" s="114"/>
      <c r="M102" s="114"/>
      <c r="N102" s="14"/>
    </row>
    <row r="103" ht="37.5" customHeight="1">
      <c r="A103" s="11">
        <v>21.0</v>
      </c>
      <c r="B103" s="14"/>
      <c r="C103" s="11" t="s">
        <v>5239</v>
      </c>
      <c r="D103" s="14"/>
      <c r="E103" s="14"/>
      <c r="F103" s="14"/>
      <c r="G103" s="14"/>
      <c r="H103" s="114"/>
      <c r="I103" s="114"/>
      <c r="J103" s="114"/>
      <c r="K103" s="231" t="s">
        <v>12</v>
      </c>
      <c r="L103" s="114"/>
      <c r="M103" s="14"/>
      <c r="N103" s="14"/>
    </row>
    <row r="104" ht="37.5" customHeight="1">
      <c r="A104" s="11">
        <v>22.0</v>
      </c>
      <c r="B104" s="14"/>
      <c r="C104" s="11" t="s">
        <v>5239</v>
      </c>
      <c r="D104" s="14"/>
      <c r="E104" s="14"/>
      <c r="F104" s="114"/>
      <c r="G104" s="114"/>
      <c r="H104" s="114"/>
      <c r="I104" s="14"/>
      <c r="J104" s="14"/>
      <c r="K104" s="231" t="s">
        <v>12</v>
      </c>
      <c r="L104" s="114"/>
      <c r="M104" s="114"/>
      <c r="N104" s="14"/>
    </row>
    <row r="105" ht="37.5" customHeight="1">
      <c r="A105" s="11">
        <v>23.0</v>
      </c>
      <c r="B105" s="14"/>
      <c r="C105" s="11" t="s">
        <v>5239</v>
      </c>
      <c r="D105" s="14"/>
      <c r="E105" s="14"/>
      <c r="F105" s="114"/>
      <c r="G105" s="114"/>
      <c r="H105" s="14"/>
      <c r="I105" s="114"/>
      <c r="J105" s="114"/>
      <c r="K105" s="231" t="s">
        <v>12</v>
      </c>
      <c r="L105" s="114"/>
      <c r="M105" s="114"/>
      <c r="N105" s="14"/>
    </row>
    <row r="106" ht="37.5" customHeight="1">
      <c r="A106" s="11">
        <v>24.0</v>
      </c>
      <c r="B106" s="14"/>
      <c r="C106" s="11" t="s">
        <v>5239</v>
      </c>
      <c r="D106" s="14"/>
      <c r="E106" s="14"/>
      <c r="F106" s="14"/>
      <c r="G106" s="114"/>
      <c r="H106" s="14"/>
      <c r="I106" s="14"/>
      <c r="J106" s="14"/>
      <c r="K106" s="231" t="s">
        <v>12</v>
      </c>
      <c r="L106" s="14"/>
      <c r="M106" s="14"/>
      <c r="N106" s="14"/>
    </row>
    <row r="107" ht="37.5" customHeight="1">
      <c r="A107" s="11">
        <v>25.0</v>
      </c>
      <c r="B107" s="14"/>
      <c r="C107" s="11" t="s">
        <v>5239</v>
      </c>
      <c r="D107" s="14"/>
      <c r="E107" s="14"/>
      <c r="F107" s="14"/>
      <c r="G107" s="14"/>
      <c r="H107" s="114"/>
      <c r="I107" s="114"/>
      <c r="J107" s="114"/>
      <c r="K107" s="231" t="s">
        <v>12</v>
      </c>
      <c r="L107" s="14"/>
      <c r="M107" s="14"/>
      <c r="N107" s="14"/>
    </row>
    <row r="108" ht="37.5" customHeight="1">
      <c r="A108" s="11">
        <v>26.0</v>
      </c>
      <c r="B108" s="14"/>
      <c r="C108" s="11" t="s">
        <v>5239</v>
      </c>
      <c r="D108" s="14"/>
      <c r="E108" s="14"/>
      <c r="F108" s="14"/>
      <c r="G108" s="14"/>
      <c r="H108" s="114"/>
      <c r="I108" s="114"/>
      <c r="J108" s="114"/>
      <c r="K108" s="231" t="s">
        <v>12</v>
      </c>
      <c r="L108" s="14"/>
      <c r="M108" s="14"/>
      <c r="N108" s="14"/>
    </row>
    <row r="109" ht="37.5" customHeight="1">
      <c r="A109" s="11">
        <v>27.0</v>
      </c>
      <c r="B109" s="14"/>
      <c r="C109" s="11" t="s">
        <v>5239</v>
      </c>
      <c r="D109" s="14"/>
      <c r="E109" s="14"/>
      <c r="F109" s="14"/>
      <c r="G109" s="14"/>
      <c r="H109" s="114"/>
      <c r="I109" s="114"/>
      <c r="J109" s="114"/>
      <c r="K109" s="231" t="s">
        <v>12</v>
      </c>
      <c r="L109" s="14"/>
      <c r="M109" s="14"/>
      <c r="N109" s="14"/>
    </row>
    <row r="110" ht="37.5" customHeight="1">
      <c r="A110" s="11">
        <v>28.0</v>
      </c>
      <c r="B110" s="14"/>
      <c r="C110" s="11" t="s">
        <v>5239</v>
      </c>
      <c r="D110" s="14"/>
      <c r="E110" s="14"/>
      <c r="F110" s="14"/>
      <c r="G110" s="14"/>
      <c r="H110" s="114"/>
      <c r="I110" s="114"/>
      <c r="J110" s="114"/>
      <c r="K110" s="231" t="s">
        <v>12</v>
      </c>
      <c r="L110" s="14"/>
      <c r="M110" s="14"/>
      <c r="N110" s="14"/>
    </row>
    <row r="111" ht="37.5" customHeight="1">
      <c r="A111" s="11">
        <v>29.0</v>
      </c>
      <c r="B111" s="14"/>
      <c r="C111" s="11" t="s">
        <v>5239</v>
      </c>
      <c r="D111" s="14"/>
      <c r="E111" s="114"/>
      <c r="F111" s="114"/>
      <c r="G111" s="114"/>
      <c r="H111" s="14"/>
      <c r="I111" s="114"/>
      <c r="J111" s="114"/>
      <c r="K111" s="231" t="s">
        <v>12</v>
      </c>
      <c r="L111" s="114"/>
      <c r="M111" s="114"/>
      <c r="N111" s="14"/>
    </row>
    <row r="112" ht="37.5" customHeight="1">
      <c r="A112" s="11">
        <v>30.0</v>
      </c>
      <c r="B112" s="14"/>
      <c r="C112" s="11" t="s">
        <v>5239</v>
      </c>
      <c r="D112" s="14"/>
      <c r="E112" s="14"/>
      <c r="F112" s="14"/>
      <c r="G112" s="14"/>
      <c r="H112" s="114"/>
      <c r="I112" s="114"/>
      <c r="J112" s="114"/>
      <c r="K112" s="231" t="s">
        <v>12</v>
      </c>
      <c r="L112" s="14"/>
      <c r="M112" s="14"/>
      <c r="N112" s="14"/>
    </row>
    <row r="113" ht="37.5" customHeight="1">
      <c r="A113" s="11">
        <v>31.0</v>
      </c>
      <c r="B113" s="14"/>
      <c r="C113" s="11" t="s">
        <v>5239</v>
      </c>
      <c r="D113" s="14"/>
      <c r="E113" s="14"/>
      <c r="F113" s="14"/>
      <c r="G113" s="114"/>
      <c r="H113" s="114"/>
      <c r="I113" s="114"/>
      <c r="J113" s="114"/>
      <c r="K113" s="231" t="s">
        <v>12</v>
      </c>
      <c r="L113" s="14"/>
      <c r="M113" s="14"/>
      <c r="N113" s="14"/>
    </row>
    <row r="114" ht="37.5" customHeight="1">
      <c r="A114" s="11">
        <v>32.0</v>
      </c>
      <c r="B114" s="14"/>
      <c r="C114" s="11" t="s">
        <v>5239</v>
      </c>
      <c r="D114" s="14"/>
      <c r="E114" s="14"/>
      <c r="F114" s="14"/>
      <c r="G114" s="14"/>
      <c r="H114" s="114"/>
      <c r="I114" s="114"/>
      <c r="J114" s="14"/>
      <c r="K114" s="231" t="s">
        <v>12</v>
      </c>
      <c r="L114" s="14"/>
      <c r="M114" s="14"/>
      <c r="N114" s="14"/>
    </row>
    <row r="115" ht="37.5" customHeight="1">
      <c r="A115" s="11">
        <v>33.0</v>
      </c>
      <c r="B115" s="14"/>
      <c r="C115" s="11" t="s">
        <v>5239</v>
      </c>
      <c r="D115" s="14"/>
      <c r="E115" s="14"/>
      <c r="F115" s="14"/>
      <c r="G115" s="14"/>
      <c r="H115" s="114"/>
      <c r="I115" s="114"/>
      <c r="J115" s="114"/>
      <c r="K115" s="231" t="s">
        <v>12</v>
      </c>
      <c r="L115" s="14"/>
      <c r="M115" s="14"/>
      <c r="N115" s="14"/>
    </row>
    <row r="116" ht="37.5" customHeight="1">
      <c r="A116" s="11">
        <v>34.0</v>
      </c>
      <c r="B116" s="14"/>
      <c r="C116" s="11" t="s">
        <v>5239</v>
      </c>
      <c r="D116" s="14"/>
      <c r="E116" s="14"/>
      <c r="F116" s="14"/>
      <c r="G116" s="14"/>
      <c r="H116" s="114"/>
      <c r="I116" s="114"/>
      <c r="J116" s="114"/>
      <c r="K116" s="231" t="s">
        <v>12</v>
      </c>
      <c r="L116" s="14"/>
      <c r="M116" s="14"/>
      <c r="N116" s="14"/>
    </row>
    <row r="117" ht="37.5" customHeight="1">
      <c r="A117" s="11">
        <v>35.0</v>
      </c>
      <c r="B117" s="14"/>
      <c r="C117" s="11" t="s">
        <v>5239</v>
      </c>
      <c r="D117" s="14"/>
      <c r="E117" s="14"/>
      <c r="F117" s="14"/>
      <c r="G117" s="114"/>
      <c r="H117" s="114"/>
      <c r="I117" s="14"/>
      <c r="J117" s="114"/>
      <c r="K117" s="231" t="s">
        <v>12</v>
      </c>
      <c r="L117" s="114"/>
      <c r="M117" s="14"/>
      <c r="N117" s="14"/>
    </row>
    <row r="118" ht="37.5" customHeight="1">
      <c r="A118" s="11">
        <v>36.0</v>
      </c>
      <c r="B118" s="14"/>
      <c r="C118" s="11" t="s">
        <v>5239</v>
      </c>
      <c r="D118" s="14"/>
      <c r="E118" s="14"/>
      <c r="F118" s="14"/>
      <c r="G118" s="114"/>
      <c r="H118" s="14"/>
      <c r="I118" s="114"/>
      <c r="J118" s="114"/>
      <c r="K118" s="231" t="s">
        <v>12</v>
      </c>
      <c r="L118" s="14"/>
      <c r="M118" s="14"/>
      <c r="N118" s="14"/>
    </row>
    <row r="119" ht="37.5" customHeight="1">
      <c r="A119" s="11">
        <v>37.0</v>
      </c>
      <c r="B119" s="14"/>
      <c r="C119" s="11" t="s">
        <v>5239</v>
      </c>
      <c r="D119" s="14"/>
      <c r="E119" s="14"/>
      <c r="F119" s="14"/>
      <c r="G119" s="114"/>
      <c r="H119" s="14"/>
      <c r="I119" s="114"/>
      <c r="J119" s="114"/>
      <c r="K119" s="231" t="s">
        <v>12</v>
      </c>
      <c r="L119" s="14"/>
      <c r="M119" s="14"/>
      <c r="N119" s="14"/>
    </row>
    <row r="120" ht="37.5" customHeight="1">
      <c r="A120" s="11">
        <v>38.0</v>
      </c>
      <c r="B120" s="14"/>
      <c r="C120" s="11" t="s">
        <v>5239</v>
      </c>
      <c r="D120" s="14"/>
      <c r="E120" s="14"/>
      <c r="F120" s="14"/>
      <c r="G120" s="114"/>
      <c r="H120" s="114"/>
      <c r="I120" s="14"/>
      <c r="J120" s="114"/>
      <c r="K120" s="231" t="s">
        <v>12</v>
      </c>
      <c r="L120" s="14"/>
      <c r="M120" s="14"/>
      <c r="N120" s="14"/>
    </row>
  </sheetData>
  <mergeCells count="2">
    <mergeCell ref="E1:F1"/>
    <mergeCell ref="G1:K1"/>
  </mergeCells>
  <conditionalFormatting sqref="C2:C120">
    <cfRule type="cellIs" dxfId="7" priority="1" operator="equal">
      <formula>"T"</formula>
    </cfRule>
  </conditionalFormatting>
  <conditionalFormatting sqref="C2:C120">
    <cfRule type="cellIs" dxfId="25" priority="2" operator="equal">
      <formula>"H"</formula>
    </cfRule>
  </conditionalFormatting>
  <conditionalFormatting sqref="C2:C120">
    <cfRule type="cellIs" dxfId="6" priority="3" operator="equal">
      <formula>"W"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  <col customWidth="1" min="2" max="2" width="18.75"/>
    <col customWidth="1" min="3" max="3" width="8.38"/>
    <col customWidth="1" min="4" max="4" width="8.13"/>
    <col customWidth="1" min="5" max="5" width="32.0"/>
    <col customWidth="1" min="6" max="6" width="41.38"/>
    <col customWidth="1" min="7" max="7" width="17.5"/>
    <col customWidth="1" min="8" max="8" width="27.63"/>
    <col customWidth="1" min="9" max="9" width="6.88"/>
    <col customWidth="1" min="10" max="10" width="6.13"/>
    <col customWidth="1" min="11" max="11" width="7.13"/>
    <col customWidth="1" min="12" max="12" width="29.0"/>
  </cols>
  <sheetData>
    <row r="1" ht="16.5" customHeight="1">
      <c r="A1" s="190" t="s">
        <v>1979</v>
      </c>
      <c r="H1" s="192" t="s">
        <v>2061</v>
      </c>
      <c r="K1" s="203" t="s">
        <v>4623</v>
      </c>
    </row>
    <row r="2" ht="16.5" customHeight="1">
      <c r="A2" s="126" t="s">
        <v>1781</v>
      </c>
      <c r="B2" s="126" t="s">
        <v>54</v>
      </c>
      <c r="C2" s="194" t="s">
        <v>2415</v>
      </c>
      <c r="D2" s="194" t="s">
        <v>4624</v>
      </c>
      <c r="E2" s="194" t="s">
        <v>5249</v>
      </c>
      <c r="F2" s="194" t="s">
        <v>2204</v>
      </c>
      <c r="G2" s="194" t="s">
        <v>5250</v>
      </c>
      <c r="H2" s="195" t="s">
        <v>4625</v>
      </c>
      <c r="I2" s="195" t="s">
        <v>2422</v>
      </c>
      <c r="J2" s="195" t="s">
        <v>63</v>
      </c>
    </row>
    <row r="3" ht="37.5" customHeight="1">
      <c r="A3" s="233"/>
      <c r="B3" s="11" t="s">
        <v>1824</v>
      </c>
      <c r="C3" s="128">
        <v>15.0</v>
      </c>
      <c r="D3" s="114" t="s">
        <v>4632</v>
      </c>
      <c r="E3" s="114" t="s">
        <v>5251</v>
      </c>
      <c r="F3" s="114" t="s">
        <v>5252</v>
      </c>
      <c r="G3" s="114" t="s">
        <v>5253</v>
      </c>
      <c r="H3" s="130" t="s">
        <v>5254</v>
      </c>
      <c r="I3" s="128">
        <v>1.0</v>
      </c>
      <c r="J3" s="128" t="s">
        <v>71</v>
      </c>
      <c r="K3" s="128" t="s">
        <v>71</v>
      </c>
      <c r="L3" s="128" t="s">
        <v>5255</v>
      </c>
    </row>
    <row r="4" ht="37.5" customHeight="1">
      <c r="A4" s="233"/>
      <c r="B4" s="127" t="s">
        <v>962</v>
      </c>
      <c r="C4" s="128">
        <v>25.0</v>
      </c>
      <c r="D4" s="130" t="s">
        <v>5256</v>
      </c>
      <c r="E4" s="130" t="s">
        <v>5257</v>
      </c>
      <c r="F4" s="130" t="s">
        <v>5258</v>
      </c>
      <c r="G4" s="130" t="s">
        <v>5259</v>
      </c>
      <c r="H4" s="130" t="s">
        <v>5260</v>
      </c>
      <c r="I4" s="128">
        <v>2.0</v>
      </c>
      <c r="J4" s="128" t="s">
        <v>71</v>
      </c>
      <c r="K4" s="128" t="s">
        <v>92</v>
      </c>
      <c r="L4" s="128" t="s">
        <v>5261</v>
      </c>
    </row>
    <row r="5" ht="37.5" customHeight="1">
      <c r="A5" s="233"/>
      <c r="B5" s="11" t="s">
        <v>898</v>
      </c>
      <c r="C5" s="128">
        <v>23.0</v>
      </c>
      <c r="D5" s="114" t="s">
        <v>4632</v>
      </c>
      <c r="E5" s="114" t="s">
        <v>5262</v>
      </c>
      <c r="F5" s="114" t="s">
        <v>5263</v>
      </c>
      <c r="G5" s="114" t="s">
        <v>5264</v>
      </c>
      <c r="H5" s="130" t="s">
        <v>5265</v>
      </c>
      <c r="I5" s="128">
        <v>3.0</v>
      </c>
      <c r="J5" s="128" t="s">
        <v>71</v>
      </c>
      <c r="K5" s="128" t="s">
        <v>120</v>
      </c>
      <c r="L5" s="128" t="s">
        <v>5266</v>
      </c>
    </row>
    <row r="6" ht="37.5" customHeight="1">
      <c r="A6" s="233"/>
      <c r="B6" s="11" t="s">
        <v>146</v>
      </c>
      <c r="C6" s="128">
        <v>4.0</v>
      </c>
      <c r="D6" s="114" t="s">
        <v>5267</v>
      </c>
      <c r="E6" s="114" t="s">
        <v>5268</v>
      </c>
      <c r="F6" s="114" t="s">
        <v>5269</v>
      </c>
      <c r="G6" s="114" t="s">
        <v>5270</v>
      </c>
      <c r="H6" s="130" t="s">
        <v>5271</v>
      </c>
      <c r="I6" s="128">
        <v>4.0</v>
      </c>
      <c r="J6" s="128" t="s">
        <v>71</v>
      </c>
      <c r="K6" s="128" t="s">
        <v>136</v>
      </c>
      <c r="L6" s="128" t="s">
        <v>5272</v>
      </c>
    </row>
    <row r="7" ht="37.5" customHeight="1">
      <c r="A7" s="233"/>
      <c r="B7" s="127" t="s">
        <v>560</v>
      </c>
      <c r="C7" s="128">
        <v>27.0</v>
      </c>
      <c r="D7" s="130" t="s">
        <v>5273</v>
      </c>
      <c r="E7" s="130" t="s">
        <v>5274</v>
      </c>
      <c r="F7" s="130" t="s">
        <v>5275</v>
      </c>
      <c r="G7" s="130" t="s">
        <v>5276</v>
      </c>
      <c r="H7" s="130" t="s">
        <v>5277</v>
      </c>
      <c r="I7" s="128">
        <v>5.0</v>
      </c>
      <c r="J7" s="128" t="s">
        <v>71</v>
      </c>
      <c r="K7" s="128" t="s">
        <v>167</v>
      </c>
      <c r="L7" s="128" t="s">
        <v>5278</v>
      </c>
    </row>
    <row r="8" ht="37.5" customHeight="1">
      <c r="A8" s="233"/>
      <c r="B8" s="127" t="s">
        <v>722</v>
      </c>
      <c r="C8" s="128">
        <v>26.0</v>
      </c>
      <c r="D8" s="130" t="s">
        <v>5273</v>
      </c>
      <c r="E8" s="130" t="s">
        <v>5279</v>
      </c>
      <c r="F8" s="130" t="s">
        <v>5280</v>
      </c>
      <c r="G8" s="130" t="s">
        <v>5281</v>
      </c>
      <c r="H8" s="130" t="s">
        <v>723</v>
      </c>
      <c r="I8" s="128">
        <v>6.0</v>
      </c>
      <c r="J8" s="128" t="s">
        <v>71</v>
      </c>
      <c r="K8" s="128" t="s">
        <v>423</v>
      </c>
      <c r="L8" s="128" t="s">
        <v>5282</v>
      </c>
    </row>
    <row r="9" ht="37.5" customHeight="1">
      <c r="A9" s="233"/>
      <c r="B9" s="11" t="s">
        <v>1548</v>
      </c>
      <c r="C9" s="128">
        <v>22.0</v>
      </c>
      <c r="D9" s="114" t="s">
        <v>4632</v>
      </c>
      <c r="E9" s="114" t="s">
        <v>5283</v>
      </c>
      <c r="F9" s="114" t="s">
        <v>5284</v>
      </c>
      <c r="G9" s="114" t="s">
        <v>5285</v>
      </c>
      <c r="H9" s="130" t="s">
        <v>5286</v>
      </c>
      <c r="I9" s="128">
        <v>7.0</v>
      </c>
      <c r="J9" s="128" t="s">
        <v>71</v>
      </c>
      <c r="K9" s="128" t="s">
        <v>447</v>
      </c>
      <c r="L9" s="128" t="s">
        <v>5287</v>
      </c>
    </row>
    <row r="10" ht="37.5" customHeight="1">
      <c r="A10" s="233"/>
      <c r="B10" s="11" t="s">
        <v>1010</v>
      </c>
      <c r="C10" s="128">
        <v>24.0</v>
      </c>
      <c r="D10" s="114" t="s">
        <v>4632</v>
      </c>
      <c r="E10" s="114" t="s">
        <v>5288</v>
      </c>
      <c r="F10" s="114" t="s">
        <v>5289</v>
      </c>
      <c r="G10" s="114" t="s">
        <v>5290</v>
      </c>
      <c r="H10" s="130" t="s">
        <v>5291</v>
      </c>
      <c r="I10" s="128">
        <v>8.0</v>
      </c>
      <c r="J10" s="128" t="s">
        <v>71</v>
      </c>
      <c r="K10" s="128" t="s">
        <v>708</v>
      </c>
      <c r="L10" s="128" t="s">
        <v>5292</v>
      </c>
    </row>
    <row r="11" ht="37.5" customHeight="1">
      <c r="A11" s="233"/>
      <c r="B11" s="11" t="s">
        <v>1869</v>
      </c>
      <c r="C11" s="128">
        <v>16.0</v>
      </c>
      <c r="D11" s="114" t="s">
        <v>5273</v>
      </c>
      <c r="E11" s="114" t="s">
        <v>5293</v>
      </c>
      <c r="F11" s="234" t="s">
        <v>5294</v>
      </c>
      <c r="G11" s="234" t="s">
        <v>5295</v>
      </c>
      <c r="H11" s="235" t="s">
        <v>5296</v>
      </c>
      <c r="I11" s="128">
        <v>9.0</v>
      </c>
      <c r="J11" s="128" t="s">
        <v>71</v>
      </c>
    </row>
    <row r="12" ht="37.5" customHeight="1">
      <c r="A12" s="233"/>
      <c r="B12" s="11" t="s">
        <v>5297</v>
      </c>
      <c r="C12" s="128">
        <v>29.0</v>
      </c>
      <c r="D12" s="114" t="s">
        <v>5298</v>
      </c>
      <c r="E12" s="114"/>
      <c r="F12" s="234"/>
      <c r="G12" s="234"/>
      <c r="H12" s="235"/>
      <c r="I12" s="128"/>
      <c r="J12" s="128"/>
    </row>
    <row r="13" ht="37.5" customHeight="1">
      <c r="A13" s="233"/>
      <c r="B13" s="11" t="s">
        <v>3373</v>
      </c>
      <c r="C13" s="128">
        <v>29.0</v>
      </c>
      <c r="D13" s="114" t="s">
        <v>4632</v>
      </c>
      <c r="E13" s="114"/>
      <c r="F13" s="234"/>
      <c r="G13" s="234"/>
      <c r="H13" s="235"/>
      <c r="I13" s="128"/>
      <c r="J13" s="128"/>
    </row>
    <row r="14" ht="37.5" customHeight="1">
      <c r="A14" s="233"/>
      <c r="B14" s="11" t="s">
        <v>5299</v>
      </c>
      <c r="C14" s="128">
        <v>29.0</v>
      </c>
      <c r="D14" s="114" t="s">
        <v>5300</v>
      </c>
      <c r="E14" s="114"/>
      <c r="F14" s="234"/>
      <c r="G14" s="234"/>
      <c r="H14" s="235"/>
      <c r="I14" s="128"/>
      <c r="J14" s="128"/>
    </row>
    <row r="15" ht="37.5" customHeight="1">
      <c r="A15" s="233"/>
      <c r="B15" s="11" t="s">
        <v>2864</v>
      </c>
      <c r="C15" s="128">
        <v>29.0</v>
      </c>
      <c r="D15" s="114" t="s">
        <v>5301</v>
      </c>
      <c r="E15" s="114"/>
      <c r="F15" s="234"/>
      <c r="G15" s="234"/>
      <c r="H15" s="235"/>
      <c r="I15" s="128"/>
      <c r="J15" s="128"/>
    </row>
    <row r="16" ht="37.5" customHeight="1">
      <c r="A16" s="233"/>
      <c r="B16" s="11" t="s">
        <v>5302</v>
      </c>
      <c r="C16" s="128">
        <v>29.0</v>
      </c>
      <c r="D16" s="114" t="s">
        <v>5256</v>
      </c>
      <c r="E16" s="114"/>
      <c r="F16" s="234"/>
      <c r="G16" s="234"/>
      <c r="H16" s="235"/>
      <c r="I16" s="128"/>
      <c r="J16" s="128"/>
    </row>
    <row r="17" ht="37.5" customHeight="1">
      <c r="A17" s="233"/>
      <c r="B17" s="11" t="s">
        <v>5303</v>
      </c>
      <c r="C17" s="128">
        <v>29.0</v>
      </c>
      <c r="D17" s="114" t="s">
        <v>5304</v>
      </c>
      <c r="E17" s="114"/>
      <c r="F17" s="234"/>
      <c r="G17" s="234"/>
      <c r="H17" s="235"/>
      <c r="I17" s="128"/>
      <c r="J17" s="128"/>
    </row>
    <row r="18" ht="37.5" customHeight="1">
      <c r="A18" s="233"/>
      <c r="B18" s="11" t="s">
        <v>166</v>
      </c>
      <c r="C18" s="128">
        <v>6.0</v>
      </c>
      <c r="D18" s="114" t="s">
        <v>4632</v>
      </c>
      <c r="E18" s="114" t="s">
        <v>5305</v>
      </c>
      <c r="F18" s="114" t="str">
        <f>"+150% melee damage for 3s (75% for spread shot)"</f>
        <v>+150% melee damage for 3s (75% for spread shot)</v>
      </c>
      <c r="G18" s="114" t="s">
        <v>5306</v>
      </c>
      <c r="H18" s="130" t="s">
        <v>5307</v>
      </c>
      <c r="I18" s="128">
        <v>10.0</v>
      </c>
      <c r="J18" s="128" t="s">
        <v>71</v>
      </c>
      <c r="K18" s="128"/>
      <c r="L18" s="128"/>
    </row>
    <row r="19" ht="37.5" customHeight="1">
      <c r="A19" s="233"/>
      <c r="B19" s="11" t="s">
        <v>900</v>
      </c>
      <c r="C19" s="128">
        <v>20.0</v>
      </c>
      <c r="D19" s="114" t="s">
        <v>5308</v>
      </c>
      <c r="E19" s="114" t="s">
        <v>5309</v>
      </c>
      <c r="F19" s="114" t="s">
        <v>5310</v>
      </c>
      <c r="G19" s="114" t="s">
        <v>5311</v>
      </c>
      <c r="H19" s="130" t="s">
        <v>5312</v>
      </c>
      <c r="I19" s="128">
        <v>11.0</v>
      </c>
      <c r="J19" s="128" t="s">
        <v>92</v>
      </c>
    </row>
    <row r="20" ht="37.5" customHeight="1">
      <c r="A20" s="233"/>
      <c r="B20" s="127" t="s">
        <v>1053</v>
      </c>
      <c r="C20" s="128">
        <v>25.0</v>
      </c>
      <c r="D20" s="130" t="s">
        <v>4632</v>
      </c>
      <c r="E20" s="130" t="s">
        <v>5313</v>
      </c>
      <c r="F20" s="130" t="s">
        <v>5314</v>
      </c>
      <c r="G20" s="130" t="s">
        <v>5315</v>
      </c>
      <c r="H20" s="130" t="s">
        <v>5316</v>
      </c>
      <c r="I20" s="128">
        <v>12.0</v>
      </c>
      <c r="J20" s="128" t="s">
        <v>92</v>
      </c>
    </row>
    <row r="21" ht="37.5" customHeight="1">
      <c r="A21" s="233"/>
      <c r="B21" s="11" t="s">
        <v>1653</v>
      </c>
      <c r="C21" s="128">
        <v>20.0</v>
      </c>
      <c r="D21" s="114" t="s">
        <v>5308</v>
      </c>
      <c r="E21" s="114" t="s">
        <v>5317</v>
      </c>
      <c r="F21" s="114" t="s">
        <v>5318</v>
      </c>
      <c r="G21" s="114" t="s">
        <v>5319</v>
      </c>
      <c r="H21" s="130" t="s">
        <v>5320</v>
      </c>
      <c r="I21" s="128">
        <v>13.0</v>
      </c>
      <c r="J21" s="128" t="s">
        <v>92</v>
      </c>
    </row>
    <row r="22" ht="37.5" customHeight="1">
      <c r="A22" s="233"/>
      <c r="B22" s="11" t="s">
        <v>5321</v>
      </c>
      <c r="C22" s="128">
        <v>27.0</v>
      </c>
      <c r="D22" s="130" t="s">
        <v>5322</v>
      </c>
      <c r="E22" s="130" t="s">
        <v>5323</v>
      </c>
      <c r="F22" s="130" t="s">
        <v>5324</v>
      </c>
      <c r="G22" s="130" t="s">
        <v>5325</v>
      </c>
      <c r="H22" s="130" t="s">
        <v>5326</v>
      </c>
      <c r="I22" s="128">
        <v>14.0</v>
      </c>
      <c r="J22" s="128" t="s">
        <v>92</v>
      </c>
    </row>
    <row r="23" ht="37.5" customHeight="1">
      <c r="A23" s="233"/>
      <c r="B23" s="11" t="s">
        <v>172</v>
      </c>
      <c r="C23" s="128">
        <v>3.0</v>
      </c>
      <c r="D23" s="114" t="s">
        <v>5273</v>
      </c>
      <c r="E23" s="114" t="s">
        <v>5327</v>
      </c>
      <c r="F23" s="114" t="s">
        <v>5328</v>
      </c>
      <c r="G23" s="114" t="s">
        <v>5329</v>
      </c>
      <c r="H23" s="130" t="s">
        <v>5330</v>
      </c>
      <c r="I23" s="128">
        <v>15.0</v>
      </c>
      <c r="J23" s="128" t="s">
        <v>92</v>
      </c>
    </row>
    <row r="24" ht="37.5" customHeight="1">
      <c r="A24" s="233"/>
      <c r="B24" s="127" t="s">
        <v>987</v>
      </c>
      <c r="C24" s="128">
        <v>25.0</v>
      </c>
      <c r="D24" s="130" t="s">
        <v>5308</v>
      </c>
      <c r="E24" s="130" t="s">
        <v>5331</v>
      </c>
      <c r="F24" s="130" t="s">
        <v>5332</v>
      </c>
      <c r="G24" s="130" t="s">
        <v>5333</v>
      </c>
      <c r="H24" s="130" t="s">
        <v>5334</v>
      </c>
      <c r="I24" s="128">
        <v>16.0</v>
      </c>
      <c r="J24" s="128" t="s">
        <v>92</v>
      </c>
    </row>
    <row r="25" ht="37.5" customHeight="1">
      <c r="A25" s="233"/>
      <c r="B25" s="11" t="s">
        <v>183</v>
      </c>
      <c r="C25" s="128">
        <v>14.0</v>
      </c>
      <c r="D25" s="114" t="s">
        <v>5335</v>
      </c>
      <c r="E25" s="114" t="s">
        <v>5336</v>
      </c>
      <c r="F25" s="114" t="s">
        <v>5337</v>
      </c>
      <c r="G25" s="114" t="s">
        <v>5338</v>
      </c>
      <c r="H25" s="130" t="s">
        <v>5339</v>
      </c>
      <c r="I25" s="128">
        <v>17.0</v>
      </c>
      <c r="J25" s="128" t="s">
        <v>92</v>
      </c>
    </row>
    <row r="26" ht="37.5" customHeight="1">
      <c r="A26" s="233"/>
      <c r="B26" s="11" t="s">
        <v>936</v>
      </c>
      <c r="C26" s="128">
        <v>24.0</v>
      </c>
      <c r="D26" s="114" t="s">
        <v>5340</v>
      </c>
      <c r="E26" s="114" t="s">
        <v>5341</v>
      </c>
      <c r="F26" s="114" t="s">
        <v>5342</v>
      </c>
      <c r="G26" s="114" t="s">
        <v>5343</v>
      </c>
      <c r="H26" s="130" t="s">
        <v>5344</v>
      </c>
      <c r="I26" s="128">
        <v>18.0</v>
      </c>
      <c r="J26" s="128" t="s">
        <v>92</v>
      </c>
    </row>
    <row r="27" ht="37.5" customHeight="1">
      <c r="A27" s="233"/>
      <c r="B27" s="11" t="s">
        <v>1584</v>
      </c>
      <c r="C27" s="128">
        <v>17.0</v>
      </c>
      <c r="D27" s="114" t="s">
        <v>5308</v>
      </c>
      <c r="E27" s="114" t="s">
        <v>5345</v>
      </c>
      <c r="F27" s="114" t="s">
        <v>5346</v>
      </c>
      <c r="G27" s="114" t="s">
        <v>5347</v>
      </c>
      <c r="H27" s="130" t="s">
        <v>5348</v>
      </c>
      <c r="I27" s="128">
        <v>19.0</v>
      </c>
      <c r="J27" s="128" t="s">
        <v>92</v>
      </c>
    </row>
    <row r="28" ht="37.5" customHeight="1">
      <c r="A28" s="233"/>
      <c r="B28" s="11" t="s">
        <v>315</v>
      </c>
      <c r="C28" s="128">
        <v>16.0</v>
      </c>
      <c r="D28" s="114" t="s">
        <v>4632</v>
      </c>
      <c r="E28" s="114" t="s">
        <v>5349</v>
      </c>
      <c r="F28" s="114" t="s">
        <v>5350</v>
      </c>
      <c r="G28" s="114" t="s">
        <v>5351</v>
      </c>
      <c r="H28" s="130" t="s">
        <v>5352</v>
      </c>
      <c r="I28" s="128">
        <v>20.0</v>
      </c>
      <c r="J28" s="128" t="s">
        <v>92</v>
      </c>
    </row>
    <row r="29" ht="37.5" customHeight="1">
      <c r="A29" s="233"/>
      <c r="B29" s="127" t="s">
        <v>564</v>
      </c>
      <c r="C29" s="128">
        <v>27.0</v>
      </c>
      <c r="D29" s="130" t="s">
        <v>5308</v>
      </c>
      <c r="E29" s="130" t="s">
        <v>5353</v>
      </c>
      <c r="F29" s="130" t="s">
        <v>5354</v>
      </c>
      <c r="G29" s="130" t="s">
        <v>23</v>
      </c>
      <c r="H29" s="130" t="s">
        <v>5355</v>
      </c>
      <c r="I29" s="128">
        <v>21.0</v>
      </c>
      <c r="J29" s="128" t="s">
        <v>120</v>
      </c>
    </row>
    <row r="30" ht="37.5" customHeight="1">
      <c r="A30" s="233"/>
      <c r="B30" s="11" t="s">
        <v>322</v>
      </c>
      <c r="C30" s="128">
        <v>18.0</v>
      </c>
      <c r="D30" s="114" t="s">
        <v>5308</v>
      </c>
      <c r="E30" s="114" t="s">
        <v>5283</v>
      </c>
      <c r="F30" s="114" t="s">
        <v>5356</v>
      </c>
      <c r="G30" s="114" t="s">
        <v>5357</v>
      </c>
      <c r="H30" s="130" t="s">
        <v>5358</v>
      </c>
      <c r="I30" s="128">
        <v>22.0</v>
      </c>
      <c r="J30" s="128" t="s">
        <v>120</v>
      </c>
    </row>
    <row r="31" ht="37.5" customHeight="1">
      <c r="A31" s="233"/>
      <c r="B31" s="11" t="s">
        <v>739</v>
      </c>
      <c r="C31" s="128">
        <v>17.0</v>
      </c>
      <c r="D31" s="114" t="s">
        <v>4632</v>
      </c>
      <c r="E31" s="114" t="s">
        <v>5359</v>
      </c>
      <c r="F31" s="114" t="s">
        <v>5360</v>
      </c>
      <c r="G31" s="114" t="s">
        <v>5325</v>
      </c>
      <c r="H31" s="130" t="s">
        <v>5361</v>
      </c>
      <c r="I31" s="128">
        <v>23.0</v>
      </c>
      <c r="J31" s="128" t="s">
        <v>120</v>
      </c>
    </row>
    <row r="32" ht="37.5" customHeight="1">
      <c r="A32" s="233"/>
      <c r="B32" s="11" t="s">
        <v>90</v>
      </c>
      <c r="C32" s="128">
        <v>9.0</v>
      </c>
      <c r="D32" s="114" t="s">
        <v>5362</v>
      </c>
      <c r="E32" s="114" t="s">
        <v>5363</v>
      </c>
      <c r="F32" s="114" t="s">
        <v>5364</v>
      </c>
      <c r="G32" s="114" t="s">
        <v>5365</v>
      </c>
      <c r="H32" s="130" t="s">
        <v>5366</v>
      </c>
      <c r="I32" s="128">
        <v>24.0</v>
      </c>
      <c r="J32" s="128" t="s">
        <v>120</v>
      </c>
    </row>
    <row r="33" ht="37.5" customHeight="1">
      <c r="A33" s="233"/>
      <c r="B33" s="11" t="s">
        <v>4209</v>
      </c>
      <c r="C33" s="128">
        <v>12.0</v>
      </c>
      <c r="D33" s="114" t="s">
        <v>5308</v>
      </c>
      <c r="E33" s="114" t="s">
        <v>5345</v>
      </c>
      <c r="F33" s="114" t="s">
        <v>5367</v>
      </c>
      <c r="G33" s="114" t="s">
        <v>5368</v>
      </c>
      <c r="H33" s="130" t="s">
        <v>5369</v>
      </c>
      <c r="I33" s="128">
        <v>25.0</v>
      </c>
      <c r="J33" s="128" t="s">
        <v>120</v>
      </c>
    </row>
    <row r="34" ht="37.5" customHeight="1">
      <c r="A34" s="233"/>
      <c r="B34" s="11" t="s">
        <v>1647</v>
      </c>
      <c r="C34" s="128">
        <v>23.0</v>
      </c>
      <c r="D34" s="114" t="s">
        <v>4632</v>
      </c>
      <c r="E34" s="114" t="s">
        <v>5370</v>
      </c>
      <c r="F34" s="114" t="s">
        <v>5371</v>
      </c>
      <c r="G34" s="114" t="s">
        <v>5372</v>
      </c>
      <c r="H34" s="130" t="s">
        <v>5373</v>
      </c>
      <c r="I34" s="128">
        <v>26.0</v>
      </c>
      <c r="J34" s="128" t="s">
        <v>120</v>
      </c>
      <c r="K34" s="128"/>
      <c r="L34" s="14"/>
    </row>
    <row r="35" ht="37.5" customHeight="1">
      <c r="A35" s="233"/>
      <c r="B35" s="11" t="s">
        <v>1570</v>
      </c>
      <c r="C35" s="128">
        <v>7.0</v>
      </c>
      <c r="D35" s="114" t="s">
        <v>5374</v>
      </c>
      <c r="E35" s="114" t="s">
        <v>5375</v>
      </c>
      <c r="F35" s="114" t="s">
        <v>5376</v>
      </c>
      <c r="G35" s="114" t="s">
        <v>5377</v>
      </c>
      <c r="H35" s="130" t="s">
        <v>5378</v>
      </c>
      <c r="I35" s="128">
        <v>27.0</v>
      </c>
      <c r="J35" s="128" t="s">
        <v>120</v>
      </c>
    </row>
    <row r="36" ht="37.5" customHeight="1">
      <c r="A36" s="233"/>
      <c r="B36" s="11" t="s">
        <v>925</v>
      </c>
      <c r="C36" s="128">
        <v>24.0</v>
      </c>
      <c r="D36" s="114" t="s">
        <v>5379</v>
      </c>
      <c r="E36" s="114" t="s">
        <v>5380</v>
      </c>
      <c r="F36" s="114" t="s">
        <v>5381</v>
      </c>
      <c r="G36" s="114" t="s">
        <v>5382</v>
      </c>
      <c r="H36" s="130" t="s">
        <v>5383</v>
      </c>
      <c r="I36" s="128">
        <v>28.0</v>
      </c>
      <c r="J36" s="128" t="s">
        <v>120</v>
      </c>
    </row>
    <row r="37" ht="37.5" customHeight="1">
      <c r="A37" s="233"/>
      <c r="B37" s="11" t="s">
        <v>125</v>
      </c>
      <c r="C37" s="128">
        <v>1.0</v>
      </c>
      <c r="D37" s="114" t="s">
        <v>5379</v>
      </c>
      <c r="E37" s="114" t="s">
        <v>5384</v>
      </c>
      <c r="F37" s="114" t="s">
        <v>5385</v>
      </c>
      <c r="G37" s="114" t="s">
        <v>5382</v>
      </c>
      <c r="H37" s="130" t="s">
        <v>5386</v>
      </c>
      <c r="I37" s="128">
        <v>29.0</v>
      </c>
      <c r="J37" s="128" t="s">
        <v>120</v>
      </c>
    </row>
    <row r="38" ht="37.5" customHeight="1">
      <c r="A38" s="233"/>
      <c r="B38" s="11" t="s">
        <v>1052</v>
      </c>
      <c r="C38" s="128">
        <v>1.0</v>
      </c>
      <c r="D38" s="114" t="s">
        <v>5273</v>
      </c>
      <c r="E38" s="114" t="s">
        <v>5387</v>
      </c>
      <c r="F38" s="114" t="s">
        <v>5388</v>
      </c>
      <c r="G38" s="114" t="s">
        <v>5389</v>
      </c>
      <c r="H38" s="130" t="s">
        <v>5390</v>
      </c>
      <c r="I38" s="128">
        <v>30.0</v>
      </c>
      <c r="J38" s="128" t="s">
        <v>120</v>
      </c>
      <c r="K38" s="128"/>
      <c r="L38" s="14"/>
    </row>
    <row r="39" ht="37.5" customHeight="1">
      <c r="A39" s="233"/>
      <c r="B39" s="127" t="s">
        <v>562</v>
      </c>
      <c r="C39" s="128">
        <v>27.0</v>
      </c>
      <c r="D39" s="130" t="s">
        <v>5308</v>
      </c>
      <c r="E39" s="130" t="s">
        <v>5391</v>
      </c>
      <c r="F39" s="130" t="s">
        <v>5392</v>
      </c>
      <c r="G39" s="130" t="s">
        <v>5393</v>
      </c>
      <c r="H39" s="130" t="s">
        <v>5394</v>
      </c>
      <c r="I39" s="128">
        <v>31.0</v>
      </c>
      <c r="J39" s="128" t="s">
        <v>120</v>
      </c>
    </row>
    <row r="40" ht="37.5" customHeight="1">
      <c r="A40" s="233"/>
      <c r="B40" s="11" t="s">
        <v>210</v>
      </c>
      <c r="C40" s="128">
        <v>15.0</v>
      </c>
      <c r="D40" s="114" t="s">
        <v>5395</v>
      </c>
      <c r="E40" s="114" t="s">
        <v>5396</v>
      </c>
      <c r="F40" s="114" t="s">
        <v>5397</v>
      </c>
      <c r="G40" s="114" t="s">
        <v>5398</v>
      </c>
      <c r="H40" s="130" t="s">
        <v>5399</v>
      </c>
      <c r="I40" s="128">
        <v>32.0</v>
      </c>
      <c r="J40" s="128" t="s">
        <v>120</v>
      </c>
      <c r="K40" s="128"/>
      <c r="L40" s="14"/>
    </row>
    <row r="41" ht="37.5" customHeight="1">
      <c r="A41" s="233"/>
      <c r="B41" s="11" t="s">
        <v>932</v>
      </c>
      <c r="C41" s="128">
        <v>21.0</v>
      </c>
      <c r="D41" s="114" t="s">
        <v>4632</v>
      </c>
      <c r="E41" s="114" t="s">
        <v>5400</v>
      </c>
      <c r="F41" s="114" t="s">
        <v>5401</v>
      </c>
      <c r="G41" s="130" t="s">
        <v>5402</v>
      </c>
      <c r="H41" s="130" t="s">
        <v>5403</v>
      </c>
      <c r="I41" s="128">
        <v>33.0</v>
      </c>
      <c r="J41" s="128" t="s">
        <v>120</v>
      </c>
    </row>
    <row r="42" ht="37.5" customHeight="1">
      <c r="A42" s="233"/>
      <c r="B42" s="11" t="s">
        <v>186</v>
      </c>
      <c r="C42" s="128">
        <v>12.0</v>
      </c>
      <c r="D42" s="114" t="s">
        <v>5335</v>
      </c>
      <c r="E42" s="114" t="s">
        <v>5404</v>
      </c>
      <c r="F42" s="114" t="s">
        <v>5405</v>
      </c>
      <c r="G42" s="114" t="s">
        <v>5406</v>
      </c>
      <c r="H42" s="130" t="s">
        <v>5407</v>
      </c>
      <c r="I42" s="128">
        <v>34.0</v>
      </c>
      <c r="J42" s="128" t="s">
        <v>120</v>
      </c>
      <c r="K42" s="128"/>
      <c r="L42" s="14"/>
    </row>
    <row r="43" ht="37.5" customHeight="1">
      <c r="A43" s="233"/>
      <c r="B43" s="11" t="s">
        <v>85</v>
      </c>
      <c r="C43" s="128">
        <v>1.0</v>
      </c>
      <c r="D43" s="114" t="s">
        <v>5256</v>
      </c>
      <c r="E43" s="114" t="s">
        <v>5408</v>
      </c>
      <c r="F43" s="114" t="s">
        <v>5409</v>
      </c>
      <c r="G43" s="114" t="s">
        <v>5410</v>
      </c>
      <c r="H43" s="130" t="s">
        <v>5411</v>
      </c>
      <c r="I43" s="128">
        <v>35.0</v>
      </c>
      <c r="J43" s="128" t="s">
        <v>120</v>
      </c>
      <c r="K43" s="128"/>
      <c r="L43" s="14"/>
    </row>
    <row r="44" ht="37.5" customHeight="1">
      <c r="A44" s="233"/>
      <c r="B44" s="11" t="s">
        <v>189</v>
      </c>
      <c r="C44" s="128">
        <v>9.0</v>
      </c>
      <c r="D44" s="114" t="s">
        <v>5335</v>
      </c>
      <c r="E44" s="114" t="s">
        <v>59</v>
      </c>
      <c r="F44" s="114" t="s">
        <v>5412</v>
      </c>
      <c r="G44" s="130" t="s">
        <v>5413</v>
      </c>
      <c r="H44" s="130" t="s">
        <v>5414</v>
      </c>
      <c r="I44" s="128">
        <v>36.0</v>
      </c>
      <c r="J44" s="128" t="s">
        <v>120</v>
      </c>
      <c r="K44" s="128"/>
      <c r="L44" s="14"/>
    </row>
    <row r="45" ht="37.5" customHeight="1">
      <c r="A45" s="233"/>
      <c r="B45" s="11" t="s">
        <v>693</v>
      </c>
      <c r="C45" s="128">
        <v>1.0</v>
      </c>
      <c r="D45" s="114" t="s">
        <v>5362</v>
      </c>
      <c r="E45" s="114" t="s">
        <v>5415</v>
      </c>
      <c r="F45" s="114" t="s">
        <v>5416</v>
      </c>
      <c r="G45" s="114" t="s">
        <v>5417</v>
      </c>
      <c r="H45" s="130" t="s">
        <v>5418</v>
      </c>
      <c r="I45" s="128">
        <v>37.0</v>
      </c>
      <c r="J45" s="128" t="s">
        <v>120</v>
      </c>
      <c r="K45" s="128"/>
      <c r="L45" s="14"/>
    </row>
    <row r="46" ht="37.5" customHeight="1">
      <c r="A46" s="233"/>
      <c r="B46" s="11" t="s">
        <v>967</v>
      </c>
      <c r="C46" s="128">
        <v>7.0</v>
      </c>
      <c r="D46" s="114" t="s">
        <v>5419</v>
      </c>
      <c r="E46" s="114" t="s">
        <v>5420</v>
      </c>
      <c r="F46" s="114" t="s">
        <v>5421</v>
      </c>
      <c r="G46" s="114" t="s">
        <v>5422</v>
      </c>
      <c r="H46" s="130" t="s">
        <v>5423</v>
      </c>
      <c r="I46" s="128">
        <v>38.0</v>
      </c>
      <c r="J46" s="128" t="s">
        <v>120</v>
      </c>
      <c r="K46" s="128"/>
      <c r="L46" s="14"/>
    </row>
    <row r="47" ht="37.5" customHeight="1">
      <c r="A47" s="233"/>
      <c r="B47" s="11" t="s">
        <v>737</v>
      </c>
      <c r="C47" s="128">
        <v>12.0</v>
      </c>
      <c r="D47" s="114" t="s">
        <v>5424</v>
      </c>
      <c r="E47" s="114" t="s">
        <v>5425</v>
      </c>
      <c r="F47" s="114" t="s">
        <v>5426</v>
      </c>
      <c r="G47" s="114" t="s">
        <v>5427</v>
      </c>
      <c r="H47" s="130" t="s">
        <v>5428</v>
      </c>
      <c r="I47" s="128">
        <v>39.0</v>
      </c>
      <c r="J47" s="128" t="s">
        <v>120</v>
      </c>
      <c r="K47" s="128"/>
      <c r="L47" s="14"/>
    </row>
    <row r="48" ht="37.5" customHeight="1">
      <c r="A48" s="233"/>
      <c r="B48" s="11" t="s">
        <v>1649</v>
      </c>
      <c r="C48" s="128">
        <v>14.0</v>
      </c>
      <c r="D48" s="114" t="s">
        <v>5429</v>
      </c>
      <c r="E48" s="114" t="s">
        <v>5430</v>
      </c>
      <c r="F48" s="114" t="s">
        <v>5431</v>
      </c>
      <c r="G48" s="114" t="s">
        <v>5432</v>
      </c>
      <c r="H48" s="130" t="s">
        <v>5433</v>
      </c>
      <c r="I48" s="128">
        <v>40.0</v>
      </c>
      <c r="J48" s="128" t="s">
        <v>120</v>
      </c>
      <c r="K48" s="128"/>
      <c r="L48" s="14"/>
    </row>
    <row r="49" ht="37.5" customHeight="1">
      <c r="A49" s="233"/>
      <c r="B49" s="11" t="s">
        <v>1015</v>
      </c>
      <c r="C49" s="128">
        <v>12.0</v>
      </c>
      <c r="D49" s="114" t="s">
        <v>5424</v>
      </c>
      <c r="E49" s="114" t="s">
        <v>5434</v>
      </c>
      <c r="F49" s="114" t="s">
        <v>5435</v>
      </c>
      <c r="G49" s="114" t="s">
        <v>5436</v>
      </c>
      <c r="H49" s="130" t="s">
        <v>5437</v>
      </c>
      <c r="I49" s="128">
        <v>41.0</v>
      </c>
      <c r="J49" s="128" t="s">
        <v>136</v>
      </c>
      <c r="K49" s="128"/>
      <c r="L49" s="14"/>
    </row>
    <row r="50" ht="37.5" customHeight="1">
      <c r="A50" s="233"/>
      <c r="B50" s="11" t="s">
        <v>269</v>
      </c>
      <c r="C50" s="128">
        <v>6.0</v>
      </c>
      <c r="D50" s="114" t="s">
        <v>5438</v>
      </c>
      <c r="E50" s="114" t="s">
        <v>5439</v>
      </c>
      <c r="F50" s="114" t="s">
        <v>5440</v>
      </c>
      <c r="G50" s="114" t="s">
        <v>5441</v>
      </c>
      <c r="H50" s="130" t="s">
        <v>5442</v>
      </c>
      <c r="I50" s="128">
        <v>42.0</v>
      </c>
      <c r="J50" s="128" t="s">
        <v>136</v>
      </c>
      <c r="K50" s="128"/>
      <c r="L50" s="14"/>
    </row>
    <row r="51" ht="37.5" customHeight="1">
      <c r="A51" s="233"/>
      <c r="B51" s="11" t="s">
        <v>934</v>
      </c>
      <c r="C51" s="128">
        <v>19.0</v>
      </c>
      <c r="D51" s="114" t="s">
        <v>5424</v>
      </c>
      <c r="E51" s="114" t="s">
        <v>5443</v>
      </c>
      <c r="F51" s="114" t="s">
        <v>5444</v>
      </c>
      <c r="G51" s="114" t="s">
        <v>5445</v>
      </c>
      <c r="H51" s="130" t="s">
        <v>5446</v>
      </c>
      <c r="I51" s="128">
        <v>43.0</v>
      </c>
      <c r="J51" s="128" t="s">
        <v>136</v>
      </c>
    </row>
    <row r="52" ht="37.5" customHeight="1">
      <c r="A52" s="233"/>
      <c r="B52" s="11" t="s">
        <v>276</v>
      </c>
      <c r="C52" s="128">
        <v>21.0</v>
      </c>
      <c r="D52" s="114" t="s">
        <v>5273</v>
      </c>
      <c r="E52" s="114" t="s">
        <v>5447</v>
      </c>
      <c r="F52" s="114" t="s">
        <v>5448</v>
      </c>
      <c r="G52" s="114" t="s">
        <v>12</v>
      </c>
      <c r="H52" s="130" t="s">
        <v>5449</v>
      </c>
      <c r="I52" s="128">
        <v>44.0</v>
      </c>
      <c r="J52" s="128" t="s">
        <v>136</v>
      </c>
      <c r="K52" s="128"/>
      <c r="L52" s="14"/>
    </row>
    <row r="53" ht="37.5" customHeight="1">
      <c r="A53" s="233"/>
      <c r="B53" s="11" t="s">
        <v>952</v>
      </c>
      <c r="C53" s="128">
        <v>23.0</v>
      </c>
      <c r="D53" s="114" t="s">
        <v>5304</v>
      </c>
      <c r="E53" s="114" t="s">
        <v>5450</v>
      </c>
      <c r="F53" s="114" t="s">
        <v>5451</v>
      </c>
      <c r="G53" s="114" t="s">
        <v>5389</v>
      </c>
      <c r="H53" s="130" t="s">
        <v>5452</v>
      </c>
      <c r="I53" s="128">
        <v>45.0</v>
      </c>
      <c r="J53" s="128" t="s">
        <v>136</v>
      </c>
      <c r="K53" s="128"/>
      <c r="L53" s="14"/>
    </row>
    <row r="54" ht="37.5" customHeight="1">
      <c r="A54" s="233"/>
      <c r="B54" s="127" t="s">
        <v>566</v>
      </c>
      <c r="C54" s="128">
        <v>27.0</v>
      </c>
      <c r="D54" s="130" t="s">
        <v>5308</v>
      </c>
      <c r="E54" s="130" t="s">
        <v>5453</v>
      </c>
      <c r="F54" s="130" t="s">
        <v>5454</v>
      </c>
      <c r="G54" s="130" t="s">
        <v>5455</v>
      </c>
      <c r="H54" s="130" t="s">
        <v>5456</v>
      </c>
      <c r="I54" s="128">
        <v>46.0</v>
      </c>
      <c r="J54" s="128" t="s">
        <v>136</v>
      </c>
    </row>
    <row r="55" ht="37.5" customHeight="1">
      <c r="A55" s="233"/>
      <c r="B55" s="11" t="s">
        <v>5457</v>
      </c>
      <c r="C55" s="128">
        <v>27.0</v>
      </c>
      <c r="D55" s="130" t="s">
        <v>5362</v>
      </c>
      <c r="E55" s="130" t="s">
        <v>5458</v>
      </c>
      <c r="F55" s="130" t="s">
        <v>5459</v>
      </c>
      <c r="G55" s="130" t="s">
        <v>5460</v>
      </c>
      <c r="H55" s="130" t="s">
        <v>5461</v>
      </c>
      <c r="I55" s="128">
        <v>47.0</v>
      </c>
      <c r="J55" s="128" t="s">
        <v>136</v>
      </c>
      <c r="K55" s="128"/>
      <c r="L55" s="128"/>
    </row>
    <row r="56" ht="37.5" customHeight="1">
      <c r="A56" s="233"/>
      <c r="B56" s="127" t="s">
        <v>568</v>
      </c>
      <c r="C56" s="128">
        <v>27.0</v>
      </c>
      <c r="D56" s="130" t="s">
        <v>5362</v>
      </c>
      <c r="E56" s="130" t="s">
        <v>5420</v>
      </c>
      <c r="F56" s="130" t="s">
        <v>5462</v>
      </c>
      <c r="G56" s="130" t="s">
        <v>23</v>
      </c>
      <c r="H56" s="130" t="s">
        <v>5463</v>
      </c>
      <c r="I56" s="128">
        <v>48.0</v>
      </c>
      <c r="J56" s="128" t="s">
        <v>136</v>
      </c>
    </row>
    <row r="57" ht="37.5" customHeight="1">
      <c r="A57" s="233"/>
      <c r="B57" s="11" t="s">
        <v>5464</v>
      </c>
      <c r="C57" s="128">
        <v>27.0</v>
      </c>
      <c r="D57" s="130" t="s">
        <v>5362</v>
      </c>
      <c r="E57" s="130" t="s">
        <v>5345</v>
      </c>
      <c r="F57" s="130" t="s">
        <v>5465</v>
      </c>
      <c r="G57" s="130" t="s">
        <v>5377</v>
      </c>
      <c r="H57" s="130" t="s">
        <v>5466</v>
      </c>
      <c r="I57" s="128">
        <v>49.0</v>
      </c>
      <c r="J57" s="128" t="s">
        <v>136</v>
      </c>
      <c r="K57" s="128"/>
      <c r="L57" s="14"/>
    </row>
    <row r="58" ht="37.5" customHeight="1">
      <c r="A58" s="233"/>
      <c r="B58" s="11" t="s">
        <v>141</v>
      </c>
      <c r="C58" s="128">
        <v>7.0</v>
      </c>
      <c r="D58" s="114" t="s">
        <v>5273</v>
      </c>
      <c r="E58" s="114" t="s">
        <v>5467</v>
      </c>
      <c r="F58" s="114" t="s">
        <v>5468</v>
      </c>
      <c r="G58" s="114" t="s">
        <v>5469</v>
      </c>
      <c r="H58" s="130" t="s">
        <v>5470</v>
      </c>
      <c r="I58" s="128">
        <v>50.0</v>
      </c>
      <c r="J58" s="128" t="s">
        <v>136</v>
      </c>
      <c r="K58" s="128"/>
      <c r="L58" s="14"/>
    </row>
    <row r="59" ht="37.5" customHeight="1">
      <c r="A59" s="233"/>
      <c r="B59" s="11" t="s">
        <v>4033</v>
      </c>
      <c r="C59" s="128">
        <v>13.0</v>
      </c>
      <c r="D59" s="114" t="s">
        <v>5301</v>
      </c>
      <c r="E59" s="114" t="s">
        <v>5400</v>
      </c>
      <c r="F59" s="114" t="s">
        <v>5471</v>
      </c>
      <c r="G59" s="114" t="s">
        <v>5432</v>
      </c>
      <c r="H59" s="130" t="s">
        <v>5472</v>
      </c>
      <c r="I59" s="128">
        <v>51.0</v>
      </c>
      <c r="J59" s="128" t="s">
        <v>136</v>
      </c>
      <c r="K59" s="128"/>
      <c r="L59" s="14"/>
    </row>
    <row r="60" ht="37.5" customHeight="1">
      <c r="A60" s="233"/>
      <c r="B60" s="11" t="s">
        <v>247</v>
      </c>
      <c r="C60" s="128">
        <v>13.0</v>
      </c>
      <c r="D60" s="114" t="s">
        <v>5473</v>
      </c>
      <c r="E60" s="114" t="s">
        <v>5474</v>
      </c>
      <c r="F60" s="114" t="s">
        <v>5475</v>
      </c>
      <c r="G60" s="114" t="s">
        <v>12</v>
      </c>
      <c r="H60" s="130" t="s">
        <v>5476</v>
      </c>
      <c r="I60" s="128">
        <v>52.0</v>
      </c>
      <c r="J60" s="128" t="s">
        <v>136</v>
      </c>
    </row>
    <row r="61" ht="37.5" customHeight="1">
      <c r="A61" s="233"/>
      <c r="B61" s="11" t="s">
        <v>1643</v>
      </c>
      <c r="C61" s="128">
        <v>5.0</v>
      </c>
      <c r="D61" s="114" t="s">
        <v>5273</v>
      </c>
      <c r="E61" s="114" t="s">
        <v>5477</v>
      </c>
      <c r="F61" s="114" t="s">
        <v>5478</v>
      </c>
      <c r="G61" s="114" t="s">
        <v>5479</v>
      </c>
      <c r="H61" s="130" t="s">
        <v>5480</v>
      </c>
      <c r="I61" s="128">
        <v>53.0</v>
      </c>
      <c r="J61" s="128" t="s">
        <v>136</v>
      </c>
    </row>
    <row r="62" ht="37.5" customHeight="1">
      <c r="A62" s="233"/>
      <c r="B62" s="127" t="s">
        <v>724</v>
      </c>
      <c r="C62" s="128">
        <v>26.0</v>
      </c>
      <c r="D62" s="130" t="s">
        <v>4632</v>
      </c>
      <c r="E62" s="130" t="s">
        <v>5481</v>
      </c>
      <c r="F62" s="130" t="s">
        <v>5482</v>
      </c>
      <c r="G62" s="130" t="s">
        <v>5483</v>
      </c>
      <c r="H62" s="130" t="s">
        <v>5484</v>
      </c>
      <c r="I62" s="128">
        <v>54.0</v>
      </c>
      <c r="J62" s="128" t="s">
        <v>136</v>
      </c>
      <c r="K62" s="128"/>
      <c r="L62" s="14"/>
    </row>
    <row r="63" ht="37.5" customHeight="1">
      <c r="A63" s="233"/>
      <c r="B63" s="11" t="s">
        <v>965</v>
      </c>
      <c r="C63" s="128">
        <v>4.0</v>
      </c>
      <c r="D63" s="114" t="s">
        <v>4632</v>
      </c>
      <c r="E63" s="114" t="s">
        <v>5400</v>
      </c>
      <c r="F63" s="114" t="s">
        <v>5485</v>
      </c>
      <c r="G63" s="114" t="s">
        <v>5486</v>
      </c>
      <c r="H63" s="130" t="s">
        <v>5487</v>
      </c>
      <c r="I63" s="128">
        <v>55.0</v>
      </c>
      <c r="J63" s="128" t="s">
        <v>136</v>
      </c>
      <c r="K63" s="128"/>
      <c r="L63" s="128"/>
    </row>
    <row r="64" ht="37.5" customHeight="1">
      <c r="A64" s="233"/>
      <c r="B64" s="11" t="s">
        <v>968</v>
      </c>
      <c r="C64" s="128">
        <v>1.0</v>
      </c>
      <c r="D64" s="114" t="s">
        <v>5488</v>
      </c>
      <c r="E64" s="114" t="s">
        <v>5400</v>
      </c>
      <c r="F64" s="114" t="s">
        <v>5489</v>
      </c>
      <c r="G64" s="114" t="s">
        <v>5432</v>
      </c>
      <c r="H64" s="130" t="s">
        <v>5490</v>
      </c>
      <c r="I64" s="128">
        <v>56.0</v>
      </c>
      <c r="J64" s="128" t="s">
        <v>136</v>
      </c>
      <c r="K64" s="128"/>
      <c r="L64" s="14"/>
    </row>
    <row r="65" ht="37.5" customHeight="1">
      <c r="A65" s="233"/>
      <c r="B65" s="11" t="s">
        <v>1044</v>
      </c>
      <c r="C65" s="128">
        <v>1.0</v>
      </c>
      <c r="D65" s="114" t="s">
        <v>5488</v>
      </c>
      <c r="E65" s="114" t="s">
        <v>5400</v>
      </c>
      <c r="F65" s="114" t="s">
        <v>5491</v>
      </c>
      <c r="G65" s="114" t="s">
        <v>5351</v>
      </c>
      <c r="H65" s="130" t="s">
        <v>5490</v>
      </c>
      <c r="I65" s="128">
        <v>57.0</v>
      </c>
      <c r="J65" s="128" t="s">
        <v>136</v>
      </c>
      <c r="K65" s="128"/>
      <c r="L65" s="14"/>
    </row>
    <row r="66" ht="37.5" customHeight="1">
      <c r="A66" s="233"/>
      <c r="B66" s="11" t="s">
        <v>1005</v>
      </c>
      <c r="C66" s="128">
        <v>12.0</v>
      </c>
      <c r="D66" s="114" t="s">
        <v>5304</v>
      </c>
      <c r="E66" s="114" t="s">
        <v>5492</v>
      </c>
      <c r="F66" s="114" t="s">
        <v>5493</v>
      </c>
      <c r="G66" s="114" t="s">
        <v>5295</v>
      </c>
      <c r="H66" s="130" t="s">
        <v>5494</v>
      </c>
      <c r="I66" s="128">
        <v>58.0</v>
      </c>
      <c r="J66" s="128" t="s">
        <v>136</v>
      </c>
      <c r="K66" s="128"/>
      <c r="L66" s="14"/>
    </row>
    <row r="67" ht="37.5" customHeight="1">
      <c r="A67" s="233"/>
      <c r="B67" s="11" t="s">
        <v>993</v>
      </c>
      <c r="C67" s="128">
        <v>6.0</v>
      </c>
      <c r="D67" s="114" t="s">
        <v>5304</v>
      </c>
      <c r="E67" s="114" t="s">
        <v>5495</v>
      </c>
      <c r="F67" s="114" t="s">
        <v>5496</v>
      </c>
      <c r="G67" s="114" t="s">
        <v>5497</v>
      </c>
      <c r="H67" s="130" t="s">
        <v>5498</v>
      </c>
      <c r="I67" s="128">
        <v>59.0</v>
      </c>
      <c r="J67" s="128" t="s">
        <v>136</v>
      </c>
      <c r="K67" s="128"/>
      <c r="L67" s="128"/>
    </row>
    <row r="68" ht="37.5" customHeight="1">
      <c r="A68" s="233"/>
      <c r="B68" s="11" t="s">
        <v>76</v>
      </c>
      <c r="C68" s="128">
        <v>1.0</v>
      </c>
      <c r="D68" s="114" t="s">
        <v>5256</v>
      </c>
      <c r="E68" s="114" t="s">
        <v>5499</v>
      </c>
      <c r="F68" s="114" t="s">
        <v>5500</v>
      </c>
      <c r="G68" s="114" t="s">
        <v>5501</v>
      </c>
      <c r="H68" s="130" t="s">
        <v>5502</v>
      </c>
      <c r="I68" s="128">
        <v>60.0</v>
      </c>
      <c r="J68" s="128" t="s">
        <v>136</v>
      </c>
      <c r="K68" s="128"/>
      <c r="L68" s="14"/>
    </row>
    <row r="69" ht="37.5" customHeight="1">
      <c r="A69" s="233"/>
      <c r="B69" s="11" t="s">
        <v>243</v>
      </c>
      <c r="C69" s="128">
        <v>22.0</v>
      </c>
      <c r="D69" s="114" t="s">
        <v>5503</v>
      </c>
      <c r="E69" s="114" t="s">
        <v>5504</v>
      </c>
      <c r="F69" s="114" t="s">
        <v>5505</v>
      </c>
      <c r="G69" s="114" t="s">
        <v>5432</v>
      </c>
      <c r="H69" s="130" t="s">
        <v>5506</v>
      </c>
      <c r="I69" s="128">
        <v>61.0</v>
      </c>
      <c r="J69" s="128" t="s">
        <v>136</v>
      </c>
      <c r="K69" s="128"/>
      <c r="L69" s="14"/>
    </row>
    <row r="70" ht="37.5" customHeight="1">
      <c r="A70" s="233"/>
      <c r="B70" s="11" t="s">
        <v>1636</v>
      </c>
      <c r="C70" s="128">
        <v>19.0</v>
      </c>
      <c r="D70" s="114" t="s">
        <v>5273</v>
      </c>
      <c r="E70" s="114" t="s">
        <v>5507</v>
      </c>
      <c r="F70" s="114" t="str">
        <f>"+60% glaive melee damage for 10s
Extended by 5s on any glaive damage"</f>
        <v>+60% glaive melee damage for 10s
Extended by 5s on any glaive damage</v>
      </c>
      <c r="G70" s="114" t="s">
        <v>5295</v>
      </c>
      <c r="H70" s="114" t="s">
        <v>5508</v>
      </c>
      <c r="I70" s="128">
        <v>62.0</v>
      </c>
      <c r="J70" s="128" t="s">
        <v>136</v>
      </c>
      <c r="K70" s="128"/>
      <c r="L70" s="14"/>
    </row>
    <row r="71" ht="37.5" customHeight="1">
      <c r="A71" s="233"/>
      <c r="B71" s="11" t="s">
        <v>5509</v>
      </c>
      <c r="C71" s="128">
        <v>27.0</v>
      </c>
      <c r="D71" s="130" t="s">
        <v>5301</v>
      </c>
      <c r="E71" s="130" t="s">
        <v>5510</v>
      </c>
      <c r="F71" s="130" t="s">
        <v>5511</v>
      </c>
      <c r="G71" s="130" t="s">
        <v>5377</v>
      </c>
      <c r="H71" s="130" t="s">
        <v>5512</v>
      </c>
      <c r="I71" s="128">
        <v>63.0</v>
      </c>
      <c r="J71" s="128" t="s">
        <v>136</v>
      </c>
      <c r="K71" s="128"/>
      <c r="L71" s="14"/>
    </row>
    <row r="72" ht="37.5" customHeight="1">
      <c r="A72" s="233"/>
      <c r="B72" s="11" t="s">
        <v>2606</v>
      </c>
      <c r="C72" s="128">
        <v>22.0</v>
      </c>
      <c r="D72" s="114" t="s">
        <v>5301</v>
      </c>
      <c r="E72" s="114" t="s">
        <v>5513</v>
      </c>
      <c r="F72" s="114" t="s">
        <v>5514</v>
      </c>
      <c r="G72" s="130" t="s">
        <v>5515</v>
      </c>
      <c r="H72" s="130" t="s">
        <v>5516</v>
      </c>
      <c r="I72" s="128">
        <v>64.0</v>
      </c>
      <c r="J72" s="128" t="s">
        <v>136</v>
      </c>
      <c r="K72" s="128"/>
      <c r="L72" s="14"/>
    </row>
    <row r="73" ht="37.5" customHeight="1">
      <c r="A73" s="233"/>
      <c r="B73" s="11" t="s">
        <v>2898</v>
      </c>
      <c r="C73" s="128">
        <v>4.0</v>
      </c>
      <c r="D73" s="114" t="s">
        <v>5301</v>
      </c>
      <c r="E73" s="114" t="s">
        <v>5517</v>
      </c>
      <c r="F73" s="114" t="s">
        <v>5518</v>
      </c>
      <c r="G73" s="114" t="s">
        <v>23</v>
      </c>
      <c r="H73" s="130" t="s">
        <v>5519</v>
      </c>
      <c r="I73" s="128">
        <v>65.0</v>
      </c>
      <c r="J73" s="128" t="s">
        <v>136</v>
      </c>
      <c r="K73" s="128"/>
      <c r="L73" s="14"/>
    </row>
    <row r="74" ht="37.5" customHeight="1">
      <c r="A74" s="233"/>
      <c r="B74" s="11" t="s">
        <v>1551</v>
      </c>
      <c r="C74" s="128">
        <v>22.0</v>
      </c>
      <c r="D74" s="114" t="s">
        <v>5273</v>
      </c>
      <c r="E74" s="114" t="s">
        <v>5520</v>
      </c>
      <c r="F74" s="114" t="s">
        <v>5521</v>
      </c>
      <c r="G74" s="114" t="s">
        <v>5522</v>
      </c>
      <c r="H74" s="130" t="s">
        <v>5523</v>
      </c>
      <c r="I74" s="128">
        <v>66.0</v>
      </c>
      <c r="J74" s="128" t="s">
        <v>136</v>
      </c>
      <c r="K74" s="128"/>
      <c r="L74" s="14"/>
    </row>
    <row r="75" ht="37.5" customHeight="1">
      <c r="A75" s="236"/>
      <c r="B75" s="127" t="s">
        <v>3766</v>
      </c>
      <c r="C75" s="128">
        <v>28.0</v>
      </c>
      <c r="D75" s="130" t="s">
        <v>5524</v>
      </c>
      <c r="E75" s="130" t="s">
        <v>5525</v>
      </c>
      <c r="F75" s="130" t="s">
        <v>5526</v>
      </c>
      <c r="G75" s="130" t="s">
        <v>5527</v>
      </c>
      <c r="H75" s="130" t="s">
        <v>5528</v>
      </c>
      <c r="I75" s="128">
        <v>67.0</v>
      </c>
      <c r="J75" s="128" t="s">
        <v>136</v>
      </c>
      <c r="K75" s="128"/>
      <c r="L75" s="14"/>
    </row>
    <row r="76" ht="37.5" customHeight="1">
      <c r="A76" s="233"/>
      <c r="B76" s="11" t="s">
        <v>190</v>
      </c>
      <c r="C76" s="128">
        <v>6.0</v>
      </c>
      <c r="D76" s="114" t="s">
        <v>5273</v>
      </c>
      <c r="E76" s="114" t="s">
        <v>5529</v>
      </c>
      <c r="F76" s="114" t="s">
        <v>5530</v>
      </c>
      <c r="G76" s="114" t="s">
        <v>5531</v>
      </c>
      <c r="H76" s="130" t="s">
        <v>5532</v>
      </c>
      <c r="I76" s="128">
        <v>68.0</v>
      </c>
      <c r="J76" s="128" t="s">
        <v>136</v>
      </c>
      <c r="K76" s="128"/>
      <c r="L76" s="14"/>
    </row>
    <row r="77" ht="37.5" customHeight="1">
      <c r="A77" s="233"/>
      <c r="B77" s="11" t="s">
        <v>211</v>
      </c>
      <c r="C77" s="128">
        <v>16.0</v>
      </c>
      <c r="D77" s="114" t="s">
        <v>5273</v>
      </c>
      <c r="E77" s="114" t="s">
        <v>5533</v>
      </c>
      <c r="F77" s="114" t="s">
        <v>5534</v>
      </c>
      <c r="G77" s="114" t="s">
        <v>5295</v>
      </c>
      <c r="H77" s="130" t="s">
        <v>5535</v>
      </c>
      <c r="I77" s="128">
        <v>69.0</v>
      </c>
      <c r="J77" s="128" t="s">
        <v>136</v>
      </c>
      <c r="K77" s="128"/>
      <c r="L77" s="14"/>
    </row>
    <row r="78" ht="37.5" customHeight="1">
      <c r="A78" s="233"/>
      <c r="B78" s="11" t="s">
        <v>1019</v>
      </c>
      <c r="C78" s="128">
        <v>20.0</v>
      </c>
      <c r="D78" s="114" t="s">
        <v>5256</v>
      </c>
      <c r="E78" s="114" t="s">
        <v>5536</v>
      </c>
      <c r="F78" s="114" t="s">
        <v>5537</v>
      </c>
      <c r="G78" s="114" t="s">
        <v>5538</v>
      </c>
      <c r="H78" s="130" t="s">
        <v>5539</v>
      </c>
      <c r="I78" s="128">
        <v>70.0</v>
      </c>
      <c r="J78" s="128" t="s">
        <v>136</v>
      </c>
      <c r="K78" s="128"/>
      <c r="L78" s="14"/>
    </row>
    <row r="79" ht="37.5" customHeight="1">
      <c r="A79" s="233"/>
      <c r="B79" s="11" t="s">
        <v>317</v>
      </c>
      <c r="C79" s="128">
        <v>1.0</v>
      </c>
      <c r="D79" s="114" t="s">
        <v>5256</v>
      </c>
      <c r="E79" s="114" t="s">
        <v>5540</v>
      </c>
      <c r="F79" s="114" t="s">
        <v>5541</v>
      </c>
      <c r="G79" s="114" t="s">
        <v>23</v>
      </c>
      <c r="H79" s="130" t="s">
        <v>5542</v>
      </c>
      <c r="I79" s="128">
        <v>71.0</v>
      </c>
      <c r="J79" s="128" t="s">
        <v>136</v>
      </c>
      <c r="K79" s="128"/>
      <c r="L79" s="14"/>
    </row>
    <row r="80" ht="37.5" customHeight="1">
      <c r="A80" s="233"/>
      <c r="B80" s="11" t="s">
        <v>288</v>
      </c>
      <c r="C80" s="128">
        <v>1.0</v>
      </c>
      <c r="D80" s="114" t="s">
        <v>5256</v>
      </c>
      <c r="E80" s="114" t="s">
        <v>5543</v>
      </c>
      <c r="F80" s="114" t="s">
        <v>5544</v>
      </c>
      <c r="G80" s="114" t="s">
        <v>5545</v>
      </c>
      <c r="H80" s="130" t="s">
        <v>5546</v>
      </c>
      <c r="I80" s="128">
        <v>72.0</v>
      </c>
      <c r="J80" s="128" t="s">
        <v>136</v>
      </c>
      <c r="K80" s="128"/>
      <c r="L80" s="14"/>
    </row>
    <row r="81" ht="37.5" customHeight="1">
      <c r="A81" s="233"/>
      <c r="B81" s="127" t="s">
        <v>726</v>
      </c>
      <c r="C81" s="128">
        <v>26.0</v>
      </c>
      <c r="D81" s="130" t="s">
        <v>5308</v>
      </c>
      <c r="E81" s="130" t="s">
        <v>5547</v>
      </c>
      <c r="F81" s="130" t="s">
        <v>5548</v>
      </c>
      <c r="G81" s="130" t="s">
        <v>5549</v>
      </c>
      <c r="H81" s="130" t="s">
        <v>5550</v>
      </c>
      <c r="I81" s="128">
        <v>73.0</v>
      </c>
      <c r="J81" s="128" t="s">
        <v>136</v>
      </c>
      <c r="K81" s="128"/>
      <c r="L81" s="128"/>
    </row>
    <row r="82" ht="37.5" customHeight="1">
      <c r="A82" s="233"/>
      <c r="B82" s="11" t="s">
        <v>196</v>
      </c>
      <c r="C82" s="128">
        <v>6.0</v>
      </c>
      <c r="D82" s="114" t="s">
        <v>5335</v>
      </c>
      <c r="E82" s="114" t="s">
        <v>5551</v>
      </c>
      <c r="F82" s="114" t="s">
        <v>5552</v>
      </c>
      <c r="G82" s="114" t="s">
        <v>5553</v>
      </c>
      <c r="H82" s="130" t="s">
        <v>5554</v>
      </c>
      <c r="I82" s="128">
        <v>74.0</v>
      </c>
      <c r="J82" s="128" t="s">
        <v>136</v>
      </c>
      <c r="K82" s="128"/>
      <c r="L82" s="14"/>
    </row>
    <row r="83" ht="37.5" customHeight="1">
      <c r="A83" s="233"/>
      <c r="B83" s="11" t="s">
        <v>943</v>
      </c>
      <c r="C83" s="128">
        <v>15.0</v>
      </c>
      <c r="D83" s="114" t="s">
        <v>4632</v>
      </c>
      <c r="E83" s="114" t="s">
        <v>5555</v>
      </c>
      <c r="F83" s="114" t="s">
        <v>5556</v>
      </c>
      <c r="G83" s="114" t="s">
        <v>5557</v>
      </c>
      <c r="H83" s="130" t="s">
        <v>5558</v>
      </c>
      <c r="I83" s="128">
        <v>75.0</v>
      </c>
      <c r="J83" s="128" t="s">
        <v>136</v>
      </c>
      <c r="K83" s="128"/>
      <c r="L83" s="14"/>
    </row>
    <row r="84" ht="37.5" customHeight="1">
      <c r="A84" s="233"/>
      <c r="B84" s="11" t="s">
        <v>927</v>
      </c>
      <c r="C84" s="128">
        <v>4.0</v>
      </c>
      <c r="D84" s="114" t="s">
        <v>5374</v>
      </c>
      <c r="E84" s="114" t="s">
        <v>5559</v>
      </c>
      <c r="F84" s="114" t="s">
        <v>5560</v>
      </c>
      <c r="G84" s="114" t="s">
        <v>5295</v>
      </c>
      <c r="H84" s="130" t="s">
        <v>5561</v>
      </c>
      <c r="I84" s="128">
        <v>76.0</v>
      </c>
      <c r="J84" s="128" t="s">
        <v>136</v>
      </c>
      <c r="K84" s="128"/>
      <c r="L84" s="14"/>
    </row>
    <row r="85" ht="37.5" customHeight="1">
      <c r="A85" s="233"/>
      <c r="B85" s="11" t="s">
        <v>158</v>
      </c>
      <c r="C85" s="128">
        <v>1.0</v>
      </c>
      <c r="D85" s="114" t="s">
        <v>5267</v>
      </c>
      <c r="E85" s="114" t="s">
        <v>5562</v>
      </c>
      <c r="F85" s="114" t="s">
        <v>5563</v>
      </c>
      <c r="G85" s="114" t="s">
        <v>5270</v>
      </c>
      <c r="H85" s="130" t="s">
        <v>5564</v>
      </c>
      <c r="I85" s="128">
        <v>77.0</v>
      </c>
      <c r="J85" s="128" t="s">
        <v>136</v>
      </c>
      <c r="K85" s="128"/>
      <c r="L85" s="14"/>
    </row>
    <row r="86" ht="37.5" customHeight="1">
      <c r="A86" s="233"/>
      <c r="B86" s="11" t="s">
        <v>1040</v>
      </c>
      <c r="C86" s="128">
        <v>19.0</v>
      </c>
      <c r="D86" s="114" t="s">
        <v>5273</v>
      </c>
      <c r="E86" s="114" t="s">
        <v>5565</v>
      </c>
      <c r="F86" s="114" t="s">
        <v>5566</v>
      </c>
      <c r="G86" s="114" t="s">
        <v>5567</v>
      </c>
      <c r="H86" s="130" t="s">
        <v>5568</v>
      </c>
      <c r="I86" s="128">
        <v>78.0</v>
      </c>
      <c r="J86" s="128" t="s">
        <v>136</v>
      </c>
      <c r="K86" s="128"/>
      <c r="L86" s="14"/>
    </row>
    <row r="87" ht="37.5" customHeight="1">
      <c r="A87" s="233"/>
      <c r="B87" s="11" t="s">
        <v>3396</v>
      </c>
      <c r="C87" s="128">
        <v>27.0</v>
      </c>
      <c r="D87" s="130" t="s">
        <v>5569</v>
      </c>
      <c r="E87" s="130" t="s">
        <v>5570</v>
      </c>
      <c r="F87" s="114" t="s">
        <v>5571</v>
      </c>
      <c r="G87" s="130" t="s">
        <v>5572</v>
      </c>
      <c r="H87" s="130" t="s">
        <v>5573</v>
      </c>
      <c r="I87" s="128">
        <v>79.0</v>
      </c>
      <c r="J87" s="128" t="s">
        <v>136</v>
      </c>
      <c r="K87" s="128"/>
      <c r="L87" s="14"/>
    </row>
    <row r="88" ht="37.5" customHeight="1">
      <c r="A88" s="233"/>
      <c r="B88" s="11" t="s">
        <v>286</v>
      </c>
      <c r="C88" s="128">
        <v>4.0</v>
      </c>
      <c r="D88" s="114" t="s">
        <v>5574</v>
      </c>
      <c r="E88" s="114" t="s">
        <v>5575</v>
      </c>
      <c r="F88" s="114" t="s">
        <v>5576</v>
      </c>
      <c r="G88" s="114" t="s">
        <v>5351</v>
      </c>
      <c r="H88" s="130" t="s">
        <v>5577</v>
      </c>
      <c r="I88" s="128">
        <v>80.0</v>
      </c>
      <c r="J88" s="128" t="s">
        <v>136</v>
      </c>
      <c r="K88" s="128"/>
      <c r="L88" s="14"/>
    </row>
    <row r="89" ht="37.5" customHeight="1">
      <c r="A89" s="236"/>
      <c r="B89" s="127" t="s">
        <v>1001</v>
      </c>
      <c r="C89" s="128">
        <v>28.0</v>
      </c>
      <c r="D89" s="130" t="s">
        <v>5308</v>
      </c>
      <c r="E89" s="130" t="s">
        <v>5578</v>
      </c>
      <c r="F89" s="114" t="s">
        <v>5579</v>
      </c>
      <c r="G89" s="130" t="s">
        <v>5389</v>
      </c>
      <c r="H89" s="130" t="s">
        <v>5580</v>
      </c>
      <c r="I89" s="128">
        <v>81.0</v>
      </c>
      <c r="J89" s="157" t="s">
        <v>136</v>
      </c>
      <c r="K89" s="128"/>
      <c r="L89" s="14"/>
    </row>
    <row r="90" ht="37.5" customHeight="1">
      <c r="A90" s="233"/>
      <c r="B90" s="11" t="s">
        <v>1006</v>
      </c>
      <c r="C90" s="128">
        <v>4.0</v>
      </c>
      <c r="D90" s="114" t="s">
        <v>5304</v>
      </c>
      <c r="E90" s="114" t="s">
        <v>5495</v>
      </c>
      <c r="F90" s="114" t="s">
        <v>5581</v>
      </c>
      <c r="G90" s="114" t="s">
        <v>5377</v>
      </c>
      <c r="H90" s="130" t="s">
        <v>5582</v>
      </c>
      <c r="I90" s="128">
        <v>82.0</v>
      </c>
      <c r="J90" s="128" t="s">
        <v>167</v>
      </c>
      <c r="K90" s="128"/>
      <c r="L90" s="14"/>
    </row>
    <row r="91" ht="37.5" customHeight="1">
      <c r="A91" s="233"/>
      <c r="B91" s="11" t="s">
        <v>978</v>
      </c>
      <c r="C91" s="128">
        <v>15.0</v>
      </c>
      <c r="D91" s="114" t="s">
        <v>5304</v>
      </c>
      <c r="E91" s="114" t="s">
        <v>5583</v>
      </c>
      <c r="F91" s="114" t="s">
        <v>5584</v>
      </c>
      <c r="G91" s="114" t="s">
        <v>5585</v>
      </c>
      <c r="H91" s="130" t="s">
        <v>5586</v>
      </c>
      <c r="I91" s="128">
        <v>83.0</v>
      </c>
      <c r="J91" s="128" t="s">
        <v>167</v>
      </c>
      <c r="K91" s="128"/>
      <c r="L91" s="14"/>
    </row>
    <row r="92" ht="37.5" customHeight="1">
      <c r="A92" s="233"/>
      <c r="B92" s="11" t="s">
        <v>999</v>
      </c>
      <c r="C92" s="128">
        <v>22.0</v>
      </c>
      <c r="D92" s="114" t="s">
        <v>5301</v>
      </c>
      <c r="E92" s="114" t="s">
        <v>5587</v>
      </c>
      <c r="F92" s="114" t="s">
        <v>5588</v>
      </c>
      <c r="G92" s="114" t="s">
        <v>5389</v>
      </c>
      <c r="H92" s="130" t="s">
        <v>5589</v>
      </c>
      <c r="I92" s="128">
        <v>84.0</v>
      </c>
      <c r="J92" s="128" t="s">
        <v>167</v>
      </c>
      <c r="K92" s="128"/>
      <c r="L92" s="14"/>
    </row>
    <row r="93" ht="37.5" customHeight="1">
      <c r="A93" s="233"/>
      <c r="B93" s="11" t="s">
        <v>1039</v>
      </c>
      <c r="C93" s="128">
        <v>22.0</v>
      </c>
      <c r="D93" s="114" t="s">
        <v>5304</v>
      </c>
      <c r="E93" s="114" t="s">
        <v>5590</v>
      </c>
      <c r="F93" s="114" t="s">
        <v>5591</v>
      </c>
      <c r="G93" s="114" t="s">
        <v>5295</v>
      </c>
      <c r="H93" s="130" t="s">
        <v>5592</v>
      </c>
      <c r="I93" s="128">
        <v>85.0</v>
      </c>
      <c r="J93" s="128" t="s">
        <v>167</v>
      </c>
      <c r="K93" s="128"/>
      <c r="L93" s="14"/>
    </row>
    <row r="94" ht="37.5" customHeight="1">
      <c r="A94" s="233"/>
      <c r="B94" s="11" t="s">
        <v>199</v>
      </c>
      <c r="C94" s="128">
        <v>20.0</v>
      </c>
      <c r="D94" s="114" t="s">
        <v>5335</v>
      </c>
      <c r="E94" s="114" t="s">
        <v>5593</v>
      </c>
      <c r="F94" s="114" t="s">
        <v>5594</v>
      </c>
      <c r="G94" s="114" t="s">
        <v>5595</v>
      </c>
      <c r="H94" s="130" t="s">
        <v>5596</v>
      </c>
      <c r="I94" s="128">
        <v>86.0</v>
      </c>
      <c r="J94" s="128" t="s">
        <v>167</v>
      </c>
      <c r="K94" s="128"/>
      <c r="L94" s="14"/>
    </row>
    <row r="95" ht="37.5" customHeight="1">
      <c r="A95" s="233"/>
      <c r="B95" s="11" t="s">
        <v>957</v>
      </c>
      <c r="C95" s="128">
        <v>21.0</v>
      </c>
      <c r="D95" s="114" t="s">
        <v>5301</v>
      </c>
      <c r="E95" s="114" t="s">
        <v>5597</v>
      </c>
      <c r="F95" s="114" t="s">
        <v>5598</v>
      </c>
      <c r="G95" s="114" t="s">
        <v>5599</v>
      </c>
      <c r="H95" s="130" t="s">
        <v>5600</v>
      </c>
      <c r="I95" s="128">
        <v>87.0</v>
      </c>
      <c r="J95" s="128" t="s">
        <v>167</v>
      </c>
      <c r="K95" s="128"/>
      <c r="L95" s="14"/>
    </row>
    <row r="96" ht="37.5" customHeight="1">
      <c r="A96" s="233"/>
      <c r="B96" s="11" t="s">
        <v>930</v>
      </c>
      <c r="C96" s="128">
        <v>23.0</v>
      </c>
      <c r="D96" s="114" t="s">
        <v>5301</v>
      </c>
      <c r="E96" s="114" t="s">
        <v>5590</v>
      </c>
      <c r="F96" s="130" t="s">
        <v>5601</v>
      </c>
      <c r="G96" s="130" t="s">
        <v>5295</v>
      </c>
      <c r="H96" s="130" t="s">
        <v>5602</v>
      </c>
      <c r="I96" s="128">
        <v>88.0</v>
      </c>
      <c r="J96" s="128" t="s">
        <v>167</v>
      </c>
      <c r="K96" s="128"/>
      <c r="L96" s="14"/>
    </row>
    <row r="97" ht="37.5" customHeight="1">
      <c r="A97" s="233"/>
      <c r="B97" s="11" t="s">
        <v>332</v>
      </c>
      <c r="C97" s="128">
        <v>1.0</v>
      </c>
      <c r="D97" s="114" t="s">
        <v>5335</v>
      </c>
      <c r="E97" s="114" t="s">
        <v>5603</v>
      </c>
      <c r="F97" s="114" t="s">
        <v>5604</v>
      </c>
      <c r="G97" s="114" t="s">
        <v>5605</v>
      </c>
      <c r="H97" s="130" t="s">
        <v>5606</v>
      </c>
      <c r="I97" s="128">
        <v>89.0</v>
      </c>
      <c r="J97" s="128" t="s">
        <v>167</v>
      </c>
      <c r="K97" s="128"/>
      <c r="L97" s="14"/>
    </row>
    <row r="98" ht="37.5" customHeight="1">
      <c r="A98" s="233"/>
      <c r="B98" s="11" t="s">
        <v>986</v>
      </c>
      <c r="C98" s="128">
        <v>15.0</v>
      </c>
      <c r="D98" s="114" t="s">
        <v>5308</v>
      </c>
      <c r="E98" s="114" t="s">
        <v>5430</v>
      </c>
      <c r="F98" s="114" t="s">
        <v>5607</v>
      </c>
      <c r="G98" s="114" t="s">
        <v>5351</v>
      </c>
      <c r="H98" s="130" t="s">
        <v>5608</v>
      </c>
      <c r="I98" s="128">
        <v>90.0</v>
      </c>
      <c r="J98" s="128" t="s">
        <v>167</v>
      </c>
      <c r="K98" s="128"/>
      <c r="L98" s="14"/>
    </row>
    <row r="99" ht="37.5" customHeight="1">
      <c r="A99" s="233"/>
      <c r="B99" s="11" t="s">
        <v>1587</v>
      </c>
      <c r="C99" s="128">
        <v>1.0</v>
      </c>
      <c r="D99" s="114" t="s">
        <v>5308</v>
      </c>
      <c r="E99" s="114" t="s">
        <v>5430</v>
      </c>
      <c r="F99" s="114" t="s">
        <v>5367</v>
      </c>
      <c r="G99" s="114" t="s">
        <v>5432</v>
      </c>
      <c r="H99" s="130" t="s">
        <v>5609</v>
      </c>
      <c r="I99" s="128">
        <v>91.0</v>
      </c>
      <c r="J99" s="128" t="s">
        <v>167</v>
      </c>
      <c r="K99" s="128"/>
      <c r="L99" s="14"/>
    </row>
    <row r="100" ht="37.5" customHeight="1">
      <c r="A100" s="233"/>
      <c r="B100" s="11" t="s">
        <v>1645</v>
      </c>
      <c r="C100" s="128">
        <v>24.0</v>
      </c>
      <c r="D100" s="130" t="s">
        <v>5304</v>
      </c>
      <c r="E100" s="130" t="s">
        <v>5610</v>
      </c>
      <c r="F100" s="114" t="s">
        <v>5611</v>
      </c>
      <c r="G100" s="114" t="s">
        <v>5295</v>
      </c>
      <c r="H100" s="130" t="s">
        <v>5612</v>
      </c>
      <c r="I100" s="128">
        <v>92.0</v>
      </c>
      <c r="J100" s="128" t="s">
        <v>167</v>
      </c>
      <c r="K100" s="128"/>
      <c r="L100" s="14"/>
    </row>
    <row r="101" ht="37.5" customHeight="1">
      <c r="A101" s="233"/>
      <c r="B101" s="11" t="s">
        <v>902</v>
      </c>
      <c r="C101" s="128">
        <v>10.0</v>
      </c>
      <c r="D101" s="114" t="s">
        <v>4632</v>
      </c>
      <c r="E101" s="130" t="s">
        <v>5613</v>
      </c>
      <c r="F101" s="130" t="s">
        <v>5614</v>
      </c>
      <c r="G101" s="114" t="s">
        <v>5615</v>
      </c>
      <c r="H101" s="130" t="s">
        <v>5616</v>
      </c>
      <c r="I101" s="128">
        <v>93.0</v>
      </c>
      <c r="J101" s="128" t="s">
        <v>167</v>
      </c>
      <c r="K101" s="128"/>
      <c r="L101" s="128"/>
    </row>
    <row r="102" ht="37.5" customHeight="1">
      <c r="A102" s="233"/>
      <c r="B102" s="11" t="s">
        <v>5617</v>
      </c>
      <c r="C102" s="128">
        <v>27.0</v>
      </c>
      <c r="D102" s="130" t="s">
        <v>4632</v>
      </c>
      <c r="E102" s="130" t="s">
        <v>5618</v>
      </c>
      <c r="F102" s="130" t="s">
        <v>5619</v>
      </c>
      <c r="G102" s="130" t="s">
        <v>5620</v>
      </c>
      <c r="H102" s="130" t="s">
        <v>5621</v>
      </c>
      <c r="I102" s="128">
        <v>94.0</v>
      </c>
      <c r="J102" s="128" t="s">
        <v>167</v>
      </c>
      <c r="K102" s="128"/>
      <c r="L102" s="14"/>
    </row>
    <row r="103" ht="37.5" customHeight="1">
      <c r="A103" s="233"/>
      <c r="B103" s="11" t="s">
        <v>349</v>
      </c>
      <c r="C103" s="128">
        <v>11.0</v>
      </c>
      <c r="D103" s="114" t="s">
        <v>4632</v>
      </c>
      <c r="E103" s="114" t="s">
        <v>5622</v>
      </c>
      <c r="F103" s="114" t="s">
        <v>5623</v>
      </c>
      <c r="G103" s="114" t="s">
        <v>5624</v>
      </c>
      <c r="H103" s="130" t="s">
        <v>5625</v>
      </c>
      <c r="I103" s="128">
        <v>95.0</v>
      </c>
      <c r="J103" s="128" t="s">
        <v>167</v>
      </c>
      <c r="K103" s="128"/>
      <c r="L103" s="14"/>
    </row>
    <row r="104" ht="37.5" customHeight="1">
      <c r="A104" s="233"/>
      <c r="B104" s="127" t="s">
        <v>732</v>
      </c>
      <c r="C104" s="128">
        <v>26.0</v>
      </c>
      <c r="D104" s="130" t="s">
        <v>5308</v>
      </c>
      <c r="E104" s="114" t="s">
        <v>5626</v>
      </c>
      <c r="F104" s="130" t="s">
        <v>5627</v>
      </c>
      <c r="G104" s="130" t="s">
        <v>5311</v>
      </c>
      <c r="H104" s="130" t="s">
        <v>5628</v>
      </c>
      <c r="I104" s="128">
        <v>96.0</v>
      </c>
      <c r="J104" s="128" t="s">
        <v>167</v>
      </c>
      <c r="K104" s="128"/>
      <c r="L104" s="14"/>
    </row>
    <row r="105" ht="37.5" customHeight="1">
      <c r="A105" s="233"/>
      <c r="B105" s="127" t="s">
        <v>730</v>
      </c>
      <c r="C105" s="128">
        <v>26.0</v>
      </c>
      <c r="D105" s="130" t="s">
        <v>5308</v>
      </c>
      <c r="E105" s="114" t="s">
        <v>5626</v>
      </c>
      <c r="F105" s="130" t="s">
        <v>5629</v>
      </c>
      <c r="G105" s="114" t="s">
        <v>5311</v>
      </c>
      <c r="H105" s="130" t="s">
        <v>5630</v>
      </c>
      <c r="I105" s="128">
        <v>97.0</v>
      </c>
      <c r="J105" s="128" t="s">
        <v>167</v>
      </c>
    </row>
    <row r="106" ht="37.5" customHeight="1">
      <c r="A106" s="233"/>
      <c r="B106" s="127" t="s">
        <v>570</v>
      </c>
      <c r="C106" s="128">
        <v>27.0</v>
      </c>
      <c r="D106" s="130" t="s">
        <v>5298</v>
      </c>
      <c r="E106" s="130" t="s">
        <v>5631</v>
      </c>
      <c r="F106" s="114" t="s">
        <v>5632</v>
      </c>
      <c r="G106" s="130" t="s">
        <v>5633</v>
      </c>
      <c r="H106" s="130" t="s">
        <v>5634</v>
      </c>
      <c r="I106" s="128">
        <v>98.0</v>
      </c>
      <c r="J106" s="128" t="s">
        <v>167</v>
      </c>
    </row>
    <row r="107" ht="37.5" customHeight="1">
      <c r="A107" s="233"/>
      <c r="B107" s="127" t="s">
        <v>728</v>
      </c>
      <c r="C107" s="128">
        <v>26.0</v>
      </c>
      <c r="D107" s="130" t="s">
        <v>5308</v>
      </c>
      <c r="E107" s="130" t="s">
        <v>5345</v>
      </c>
      <c r="F107" s="130" t="s">
        <v>5635</v>
      </c>
      <c r="G107" s="130" t="s">
        <v>5636</v>
      </c>
      <c r="H107" s="130" t="s">
        <v>5637</v>
      </c>
      <c r="I107" s="128">
        <v>99.0</v>
      </c>
      <c r="J107" s="128" t="s">
        <v>167</v>
      </c>
      <c r="K107" s="128"/>
      <c r="L107" s="14"/>
    </row>
    <row r="108" ht="37.5" customHeight="1">
      <c r="A108" s="233"/>
      <c r="B108" s="11" t="s">
        <v>74</v>
      </c>
      <c r="C108" s="128">
        <v>1.0</v>
      </c>
      <c r="D108" s="114" t="s">
        <v>5301</v>
      </c>
      <c r="E108" s="114" t="s">
        <v>5638</v>
      </c>
      <c r="F108" s="114" t="s">
        <v>5639</v>
      </c>
      <c r="G108" s="114" t="s">
        <v>5640</v>
      </c>
      <c r="H108" s="130" t="s">
        <v>5641</v>
      </c>
      <c r="I108" s="128">
        <v>100.0</v>
      </c>
      <c r="J108" s="128" t="s">
        <v>167</v>
      </c>
      <c r="K108" s="128"/>
      <c r="L108" s="14"/>
    </row>
    <row r="109" ht="37.5" customHeight="1">
      <c r="A109" s="233"/>
      <c r="B109" s="11" t="s">
        <v>1638</v>
      </c>
      <c r="C109" s="128">
        <v>24.0</v>
      </c>
      <c r="D109" s="114" t="s">
        <v>5304</v>
      </c>
      <c r="E109" s="114" t="s">
        <v>5642</v>
      </c>
      <c r="F109" s="114" t="s">
        <v>5643</v>
      </c>
      <c r="G109" s="114" t="s">
        <v>5295</v>
      </c>
      <c r="H109" s="130" t="s">
        <v>5644</v>
      </c>
      <c r="I109" s="128">
        <v>101.0</v>
      </c>
      <c r="J109" s="128" t="s">
        <v>167</v>
      </c>
      <c r="K109" s="128"/>
      <c r="L109" s="14"/>
    </row>
    <row r="110" ht="37.5" customHeight="1">
      <c r="A110" s="233"/>
      <c r="B110" s="11" t="s">
        <v>1009</v>
      </c>
      <c r="C110" s="128">
        <v>20.0</v>
      </c>
      <c r="D110" s="114" t="s">
        <v>5304</v>
      </c>
      <c r="E110" s="114" t="s">
        <v>5645</v>
      </c>
      <c r="F110" s="114" t="s">
        <v>5646</v>
      </c>
      <c r="G110" s="114" t="s">
        <v>5295</v>
      </c>
      <c r="H110" s="130" t="s">
        <v>5647</v>
      </c>
      <c r="I110" s="128">
        <v>102.0</v>
      </c>
      <c r="J110" s="128" t="s">
        <v>167</v>
      </c>
      <c r="K110" s="128"/>
      <c r="L110" s="14"/>
    </row>
    <row r="111" ht="37.5" customHeight="1">
      <c r="A111" s="233"/>
      <c r="B111" s="11" t="s">
        <v>1038</v>
      </c>
      <c r="C111" s="128">
        <v>6.0</v>
      </c>
      <c r="D111" s="114" t="s">
        <v>5304</v>
      </c>
      <c r="E111" s="114" t="s">
        <v>5648</v>
      </c>
      <c r="F111" s="114" t="s">
        <v>5649</v>
      </c>
      <c r="G111" s="114" t="s">
        <v>5325</v>
      </c>
      <c r="H111" s="130" t="s">
        <v>5650</v>
      </c>
      <c r="I111" s="128">
        <v>103.0</v>
      </c>
      <c r="J111" s="128" t="s">
        <v>167</v>
      </c>
      <c r="K111" s="128"/>
      <c r="L111" s="128"/>
    </row>
    <row r="112" ht="37.5" customHeight="1">
      <c r="A112" s="233"/>
      <c r="B112" s="11" t="s">
        <v>1012</v>
      </c>
      <c r="C112" s="128">
        <v>18.0</v>
      </c>
      <c r="D112" s="114" t="s">
        <v>5298</v>
      </c>
      <c r="E112" s="114" t="s">
        <v>5651</v>
      </c>
      <c r="F112" s="114" t="s">
        <v>5652</v>
      </c>
      <c r="G112" s="114" t="s">
        <v>5441</v>
      </c>
      <c r="H112" s="130" t="s">
        <v>5653</v>
      </c>
      <c r="I112" s="128">
        <v>104.0</v>
      </c>
      <c r="J112" s="128" t="s">
        <v>167</v>
      </c>
      <c r="K112" s="128"/>
      <c r="L112" s="14"/>
    </row>
    <row r="113" ht="37.5" customHeight="1">
      <c r="A113" s="233"/>
      <c r="B113" s="11" t="s">
        <v>297</v>
      </c>
      <c r="C113" s="128">
        <v>21.0</v>
      </c>
      <c r="D113" s="114" t="s">
        <v>5362</v>
      </c>
      <c r="E113" s="114" t="s">
        <v>5654</v>
      </c>
      <c r="F113" s="114" t="s">
        <v>5655</v>
      </c>
      <c r="G113" s="114" t="s">
        <v>5295</v>
      </c>
      <c r="H113" s="130" t="s">
        <v>5656</v>
      </c>
      <c r="I113" s="128">
        <v>105.0</v>
      </c>
      <c r="J113" s="128" t="s">
        <v>167</v>
      </c>
      <c r="K113" s="128"/>
      <c r="L113" s="14"/>
    </row>
    <row r="114" ht="37.5" customHeight="1">
      <c r="A114" s="233"/>
      <c r="B114" s="11" t="s">
        <v>941</v>
      </c>
      <c r="C114" s="128">
        <v>1.0</v>
      </c>
      <c r="D114" s="114" t="s">
        <v>5273</v>
      </c>
      <c r="E114" s="114" t="s">
        <v>5400</v>
      </c>
      <c r="F114" s="114" t="s">
        <v>5657</v>
      </c>
      <c r="G114" s="130" t="s">
        <v>5658</v>
      </c>
      <c r="H114" s="130" t="s">
        <v>5659</v>
      </c>
      <c r="I114" s="128">
        <v>106.0</v>
      </c>
      <c r="J114" s="128" t="s">
        <v>167</v>
      </c>
      <c r="K114" s="128"/>
      <c r="L114" s="14"/>
    </row>
    <row r="115" ht="37.5" customHeight="1">
      <c r="A115" s="233"/>
      <c r="B115" s="11" t="s">
        <v>948</v>
      </c>
      <c r="C115" s="128">
        <v>23.0</v>
      </c>
      <c r="D115" s="114" t="s">
        <v>5273</v>
      </c>
      <c r="E115" s="114" t="s">
        <v>5660</v>
      </c>
      <c r="F115" s="114" t="s">
        <v>5661</v>
      </c>
      <c r="G115" s="114" t="s">
        <v>5295</v>
      </c>
      <c r="H115" s="130" t="s">
        <v>5662</v>
      </c>
      <c r="I115" s="128">
        <v>107.0</v>
      </c>
      <c r="J115" s="128" t="s">
        <v>167</v>
      </c>
      <c r="K115" s="128"/>
      <c r="L115" s="14"/>
    </row>
    <row r="116" ht="37.5" customHeight="1">
      <c r="A116" s="233"/>
      <c r="B116" s="11" t="s">
        <v>347</v>
      </c>
      <c r="C116" s="128">
        <v>1.0</v>
      </c>
      <c r="D116" s="114" t="s">
        <v>5304</v>
      </c>
      <c r="E116" s="114" t="s">
        <v>5663</v>
      </c>
      <c r="F116" s="114" t="s">
        <v>5664</v>
      </c>
      <c r="G116" s="114" t="s">
        <v>5389</v>
      </c>
      <c r="H116" s="130" t="s">
        <v>5665</v>
      </c>
      <c r="I116" s="128">
        <v>108.0</v>
      </c>
      <c r="J116" s="128" t="s">
        <v>167</v>
      </c>
      <c r="K116" s="128"/>
      <c r="L116" s="14"/>
    </row>
    <row r="117" ht="37.5" customHeight="1">
      <c r="A117" s="236"/>
      <c r="B117" s="127" t="s">
        <v>2886</v>
      </c>
      <c r="C117" s="128">
        <v>28.0</v>
      </c>
      <c r="D117" s="130" t="s">
        <v>5256</v>
      </c>
      <c r="E117" s="130" t="s">
        <v>5666</v>
      </c>
      <c r="F117" s="130" t="s">
        <v>5667</v>
      </c>
      <c r="G117" s="130" t="s">
        <v>23</v>
      </c>
      <c r="H117" s="130" t="s">
        <v>5668</v>
      </c>
      <c r="I117" s="128">
        <v>109.0</v>
      </c>
      <c r="J117" s="157" t="s">
        <v>167</v>
      </c>
      <c r="K117" s="128"/>
      <c r="L117" s="14"/>
    </row>
    <row r="118" ht="37.5" customHeight="1">
      <c r="A118" s="233"/>
      <c r="B118" s="11" t="s">
        <v>1035</v>
      </c>
      <c r="C118" s="14">
        <v>6.0</v>
      </c>
      <c r="D118" s="114" t="s">
        <v>5256</v>
      </c>
      <c r="E118" s="114" t="s">
        <v>5345</v>
      </c>
      <c r="F118" s="114" t="s">
        <v>5669</v>
      </c>
      <c r="G118" s="114" t="s">
        <v>5670</v>
      </c>
      <c r="H118" s="130" t="s">
        <v>5671</v>
      </c>
      <c r="I118" s="128">
        <v>110.0</v>
      </c>
      <c r="J118" s="128" t="s">
        <v>423</v>
      </c>
      <c r="K118" s="128"/>
      <c r="L118" s="14"/>
    </row>
    <row r="119" ht="37.5" customHeight="1">
      <c r="A119" s="233"/>
      <c r="B119" s="11" t="s">
        <v>950</v>
      </c>
      <c r="C119" s="128">
        <v>3.0</v>
      </c>
      <c r="D119" s="114" t="s">
        <v>5304</v>
      </c>
      <c r="E119" s="114" t="s">
        <v>5672</v>
      </c>
      <c r="F119" s="114" t="s">
        <v>5673</v>
      </c>
      <c r="G119" s="114" t="s">
        <v>5295</v>
      </c>
      <c r="H119" s="130" t="s">
        <v>5674</v>
      </c>
      <c r="I119" s="128">
        <v>111.0</v>
      </c>
      <c r="J119" s="128" t="s">
        <v>423</v>
      </c>
      <c r="K119" s="128"/>
      <c r="L119" s="14"/>
    </row>
    <row r="120" ht="37.5" customHeight="1">
      <c r="A120" s="233"/>
      <c r="B120" s="11" t="s">
        <v>1648</v>
      </c>
      <c r="C120" s="128">
        <v>16.0</v>
      </c>
      <c r="D120" s="114" t="s">
        <v>5301</v>
      </c>
      <c r="E120" s="114" t="s">
        <v>5492</v>
      </c>
      <c r="F120" s="114" t="s">
        <v>5675</v>
      </c>
      <c r="G120" s="114" t="s">
        <v>5295</v>
      </c>
      <c r="H120" s="130" t="s">
        <v>5676</v>
      </c>
      <c r="I120" s="128">
        <v>112.0</v>
      </c>
      <c r="J120" s="128" t="s">
        <v>423</v>
      </c>
      <c r="K120" s="128"/>
      <c r="L120" s="14"/>
    </row>
    <row r="121" ht="37.5" customHeight="1">
      <c r="A121" s="233"/>
      <c r="B121" s="11" t="s">
        <v>923</v>
      </c>
      <c r="C121" s="128">
        <v>14.0</v>
      </c>
      <c r="D121" s="114" t="s">
        <v>5304</v>
      </c>
      <c r="E121" s="114" t="s">
        <v>5677</v>
      </c>
      <c r="F121" s="114" t="s">
        <v>5678</v>
      </c>
      <c r="G121" s="114" t="s">
        <v>5389</v>
      </c>
      <c r="H121" s="130" t="s">
        <v>5679</v>
      </c>
      <c r="I121" s="128">
        <v>113.0</v>
      </c>
      <c r="J121" s="128" t="s">
        <v>423</v>
      </c>
      <c r="K121" s="128"/>
      <c r="L121" s="14"/>
    </row>
    <row r="122" ht="37.5" customHeight="1">
      <c r="A122" s="233"/>
      <c r="B122" s="11" t="s">
        <v>1003</v>
      </c>
      <c r="C122" s="128">
        <v>6.0</v>
      </c>
      <c r="D122" s="114" t="s">
        <v>5304</v>
      </c>
      <c r="E122" s="114" t="s">
        <v>5680</v>
      </c>
      <c r="F122" s="114" t="s">
        <v>5681</v>
      </c>
      <c r="G122" s="114" t="s">
        <v>5389</v>
      </c>
      <c r="H122" s="130" t="s">
        <v>5682</v>
      </c>
      <c r="I122" s="128">
        <v>114.0</v>
      </c>
      <c r="J122" s="128" t="s">
        <v>423</v>
      </c>
      <c r="K122" s="128"/>
      <c r="L122" s="14"/>
    </row>
    <row r="123" ht="37.5" customHeight="1">
      <c r="A123" s="233"/>
      <c r="B123" s="11" t="s">
        <v>945</v>
      </c>
      <c r="C123" s="128">
        <v>16.0</v>
      </c>
      <c r="D123" s="114" t="s">
        <v>5301</v>
      </c>
      <c r="E123" s="114" t="s">
        <v>5683</v>
      </c>
      <c r="F123" s="114" t="s">
        <v>5684</v>
      </c>
      <c r="G123" s="114" t="s">
        <v>5432</v>
      </c>
      <c r="H123" s="130" t="s">
        <v>5685</v>
      </c>
      <c r="I123" s="128">
        <v>115.0</v>
      </c>
      <c r="J123" s="128" t="s">
        <v>423</v>
      </c>
      <c r="K123" s="128"/>
      <c r="L123" s="14"/>
    </row>
    <row r="124" ht="37.5" customHeight="1">
      <c r="A124" s="233"/>
      <c r="B124" s="11" t="s">
        <v>959</v>
      </c>
      <c r="C124" s="128">
        <v>1.0</v>
      </c>
      <c r="D124" s="114" t="s">
        <v>5424</v>
      </c>
      <c r="E124" s="114" t="s">
        <v>5686</v>
      </c>
      <c r="F124" s="114" t="s">
        <v>5687</v>
      </c>
      <c r="G124" s="114" t="s">
        <v>5389</v>
      </c>
      <c r="H124" s="130" t="s">
        <v>5688</v>
      </c>
      <c r="I124" s="128">
        <v>116.0</v>
      </c>
      <c r="J124" s="128" t="s">
        <v>423</v>
      </c>
      <c r="K124" s="128"/>
      <c r="L124" s="14"/>
    </row>
    <row r="125" ht="37.5" customHeight="1">
      <c r="A125" s="233"/>
      <c r="B125" s="11" t="s">
        <v>991</v>
      </c>
      <c r="C125" s="128">
        <v>1.0</v>
      </c>
      <c r="D125" s="114" t="s">
        <v>5304</v>
      </c>
      <c r="E125" s="114" t="s">
        <v>5689</v>
      </c>
      <c r="F125" s="114" t="s">
        <v>5690</v>
      </c>
      <c r="G125" s="114" t="s">
        <v>5389</v>
      </c>
      <c r="H125" s="130" t="s">
        <v>5691</v>
      </c>
      <c r="I125" s="128">
        <v>117.0</v>
      </c>
      <c r="J125" s="128" t="s">
        <v>423</v>
      </c>
      <c r="K125" s="128"/>
      <c r="L125" s="14"/>
    </row>
    <row r="126" ht="37.5" customHeight="1">
      <c r="A126" s="233"/>
      <c r="B126" s="11" t="s">
        <v>921</v>
      </c>
      <c r="C126" s="128">
        <v>15.0</v>
      </c>
      <c r="D126" s="114" t="s">
        <v>5304</v>
      </c>
      <c r="E126" s="114" t="s">
        <v>5345</v>
      </c>
      <c r="F126" s="114" t="s">
        <v>5692</v>
      </c>
      <c r="G126" s="114" t="s">
        <v>5295</v>
      </c>
      <c r="H126" s="130" t="s">
        <v>5693</v>
      </c>
      <c r="I126" s="128">
        <v>118.0</v>
      </c>
      <c r="J126" s="128" t="s">
        <v>423</v>
      </c>
      <c r="K126" s="128"/>
      <c r="L126" s="14"/>
    </row>
    <row r="127" ht="37.5" customHeight="1">
      <c r="A127" s="233"/>
      <c r="B127" s="11" t="s">
        <v>5694</v>
      </c>
      <c r="C127" s="128">
        <v>27.0</v>
      </c>
      <c r="D127" s="130" t="s">
        <v>4632</v>
      </c>
      <c r="E127" s="130" t="s">
        <v>5695</v>
      </c>
      <c r="F127" s="130" t="s">
        <v>5696</v>
      </c>
      <c r="G127" s="130" t="s">
        <v>5697</v>
      </c>
      <c r="H127" s="130" t="s">
        <v>5698</v>
      </c>
      <c r="I127" s="128">
        <v>119.0</v>
      </c>
      <c r="J127" s="128" t="s">
        <v>423</v>
      </c>
      <c r="K127" s="128"/>
      <c r="L127" s="14"/>
    </row>
    <row r="128" ht="37.5" customHeight="1">
      <c r="A128" s="233"/>
      <c r="B128" s="11" t="s">
        <v>1049</v>
      </c>
      <c r="C128" s="128">
        <v>16.0</v>
      </c>
      <c r="D128" s="114" t="s">
        <v>4632</v>
      </c>
      <c r="E128" s="114" t="s">
        <v>5699</v>
      </c>
      <c r="F128" s="114" t="s">
        <v>5700</v>
      </c>
      <c r="G128" s="114" t="s">
        <v>5295</v>
      </c>
      <c r="H128" s="130" t="s">
        <v>5701</v>
      </c>
      <c r="I128" s="128">
        <v>120.0</v>
      </c>
      <c r="J128" s="128" t="s">
        <v>423</v>
      </c>
      <c r="K128" s="128"/>
      <c r="L128" s="128"/>
    </row>
    <row r="129" ht="37.5" customHeight="1">
      <c r="A129" s="233"/>
      <c r="B129" s="127" t="s">
        <v>735</v>
      </c>
      <c r="C129" s="128">
        <v>26.0</v>
      </c>
      <c r="D129" s="130" t="s">
        <v>4632</v>
      </c>
      <c r="E129" s="130" t="s">
        <v>5702</v>
      </c>
      <c r="F129" s="130" t="s">
        <v>5703</v>
      </c>
      <c r="G129" s="130" t="s">
        <v>5633</v>
      </c>
      <c r="H129" s="130" t="s">
        <v>5704</v>
      </c>
      <c r="I129" s="128">
        <v>121.0</v>
      </c>
      <c r="J129" s="128" t="s">
        <v>423</v>
      </c>
      <c r="K129" s="128"/>
      <c r="L129" s="14"/>
    </row>
    <row r="130" ht="37.5" customHeight="1">
      <c r="A130" s="233"/>
      <c r="B130" s="127" t="s">
        <v>1024</v>
      </c>
      <c r="C130" s="128">
        <v>25.0</v>
      </c>
      <c r="D130" s="130" t="s">
        <v>4632</v>
      </c>
      <c r="E130" s="130" t="s">
        <v>5705</v>
      </c>
      <c r="F130" s="130" t="s">
        <v>5706</v>
      </c>
      <c r="G130" s="130" t="s">
        <v>5707</v>
      </c>
      <c r="H130" s="130" t="s">
        <v>5708</v>
      </c>
      <c r="I130" s="128">
        <v>122.0</v>
      </c>
      <c r="J130" s="128" t="s">
        <v>423</v>
      </c>
      <c r="K130" s="128"/>
      <c r="L130" s="14"/>
    </row>
    <row r="131" ht="37.5" customHeight="1">
      <c r="A131" s="233"/>
      <c r="B131" s="11" t="s">
        <v>1644</v>
      </c>
      <c r="C131" s="128">
        <v>18.0</v>
      </c>
      <c r="D131" s="114" t="s">
        <v>4632</v>
      </c>
      <c r="E131" s="114" t="s">
        <v>5400</v>
      </c>
      <c r="F131" s="114" t="s">
        <v>5709</v>
      </c>
      <c r="G131" s="114" t="s">
        <v>5710</v>
      </c>
      <c r="H131" s="130" t="s">
        <v>5711</v>
      </c>
      <c r="I131" s="128">
        <v>123.0</v>
      </c>
      <c r="J131" s="128" t="s">
        <v>423</v>
      </c>
      <c r="K131" s="128"/>
      <c r="L131" s="14"/>
    </row>
    <row r="132" ht="37.5" customHeight="1">
      <c r="A132" s="233"/>
      <c r="B132" s="11" t="s">
        <v>1599</v>
      </c>
      <c r="C132" s="128">
        <v>3.0</v>
      </c>
      <c r="D132" s="114" t="s">
        <v>4632</v>
      </c>
      <c r="E132" s="114" t="s">
        <v>5712</v>
      </c>
      <c r="F132" s="114" t="s">
        <v>5713</v>
      </c>
      <c r="G132" s="114" t="s">
        <v>5377</v>
      </c>
      <c r="H132" s="130" t="s">
        <v>5714</v>
      </c>
      <c r="I132" s="128">
        <v>124.0</v>
      </c>
      <c r="J132" s="128" t="s">
        <v>423</v>
      </c>
      <c r="K132" s="128"/>
      <c r="L132" s="14"/>
    </row>
    <row r="133" ht="37.5" customHeight="1">
      <c r="A133" s="233"/>
      <c r="B133" s="11" t="s">
        <v>983</v>
      </c>
      <c r="C133" s="128">
        <v>20.0</v>
      </c>
      <c r="D133" s="114" t="s">
        <v>5308</v>
      </c>
      <c r="E133" s="114" t="s">
        <v>5715</v>
      </c>
      <c r="F133" s="114" t="s">
        <v>5716</v>
      </c>
      <c r="G133" s="114" t="s">
        <v>5501</v>
      </c>
      <c r="H133" s="130" t="s">
        <v>5717</v>
      </c>
      <c r="I133" s="128">
        <v>125.0</v>
      </c>
      <c r="J133" s="128" t="s">
        <v>423</v>
      </c>
      <c r="K133" s="128"/>
      <c r="L133" s="14"/>
    </row>
    <row r="134" ht="37.5" customHeight="1">
      <c r="A134" s="233"/>
      <c r="B134" s="11" t="s">
        <v>955</v>
      </c>
      <c r="C134" s="128">
        <v>12.0</v>
      </c>
      <c r="D134" s="114" t="s">
        <v>5301</v>
      </c>
      <c r="E134" s="114" t="s">
        <v>5400</v>
      </c>
      <c r="F134" s="114" t="s">
        <v>5718</v>
      </c>
      <c r="G134" s="114" t="s">
        <v>5719</v>
      </c>
      <c r="H134" s="130" t="s">
        <v>5720</v>
      </c>
      <c r="I134" s="128">
        <v>126.0</v>
      </c>
      <c r="J134" s="128" t="s">
        <v>423</v>
      </c>
      <c r="K134" s="128"/>
      <c r="L134" s="14"/>
    </row>
    <row r="135" ht="37.5" customHeight="1">
      <c r="A135" s="233"/>
      <c r="B135" s="11" t="s">
        <v>995</v>
      </c>
      <c r="C135" s="128">
        <v>13.0</v>
      </c>
      <c r="D135" s="114" t="s">
        <v>5273</v>
      </c>
      <c r="E135" s="114" t="s">
        <v>5400</v>
      </c>
      <c r="F135" s="114" t="s">
        <v>5721</v>
      </c>
      <c r="G135" s="114" t="s">
        <v>5658</v>
      </c>
      <c r="H135" s="130" t="s">
        <v>5722</v>
      </c>
      <c r="I135" s="128">
        <v>127.0</v>
      </c>
      <c r="J135" s="128" t="s">
        <v>423</v>
      </c>
      <c r="K135" s="128"/>
      <c r="L135" s="128"/>
    </row>
    <row r="136" ht="37.5" customHeight="1">
      <c r="A136" s="233"/>
      <c r="B136" s="11" t="s">
        <v>975</v>
      </c>
      <c r="C136" s="128">
        <v>6.0</v>
      </c>
      <c r="D136" s="114" t="s">
        <v>5273</v>
      </c>
      <c r="E136" s="114" t="s">
        <v>5723</v>
      </c>
      <c r="F136" s="114" t="s">
        <v>5724</v>
      </c>
      <c r="G136" s="114" t="s">
        <v>5658</v>
      </c>
      <c r="H136" s="130" t="s">
        <v>5725</v>
      </c>
      <c r="I136" s="128">
        <v>128.0</v>
      </c>
      <c r="J136" s="128" t="s">
        <v>423</v>
      </c>
      <c r="K136" s="128"/>
      <c r="L136" s="14"/>
    </row>
    <row r="137" ht="37.5" customHeight="1">
      <c r="A137" s="233"/>
      <c r="B137" s="11" t="s">
        <v>1033</v>
      </c>
      <c r="C137" s="128">
        <v>24.0</v>
      </c>
      <c r="D137" s="114" t="s">
        <v>5298</v>
      </c>
      <c r="E137" s="114" t="s">
        <v>5726</v>
      </c>
      <c r="F137" s="114" t="s">
        <v>5727</v>
      </c>
      <c r="G137" s="114" t="s">
        <v>5441</v>
      </c>
      <c r="H137" s="130" t="s">
        <v>5728</v>
      </c>
      <c r="I137" s="128">
        <v>129.0</v>
      </c>
      <c r="J137" s="128" t="s">
        <v>423</v>
      </c>
      <c r="K137" s="128"/>
      <c r="L137" s="14"/>
    </row>
    <row r="138" ht="37.5" customHeight="1">
      <c r="A138" s="233"/>
      <c r="B138" s="11" t="s">
        <v>1043</v>
      </c>
      <c r="C138" s="128">
        <v>12.0</v>
      </c>
      <c r="D138" s="114" t="s">
        <v>5298</v>
      </c>
      <c r="E138" s="114" t="s">
        <v>5345</v>
      </c>
      <c r="F138" s="114" t="s">
        <v>5729</v>
      </c>
      <c r="G138" s="114" t="s">
        <v>5730</v>
      </c>
      <c r="H138" s="130" t="s">
        <v>5731</v>
      </c>
      <c r="I138" s="128">
        <v>130.0</v>
      </c>
      <c r="J138" s="128" t="s">
        <v>423</v>
      </c>
      <c r="K138" s="128"/>
      <c r="L138" s="14"/>
    </row>
    <row r="139" ht="37.5" customHeight="1">
      <c r="A139" s="233"/>
      <c r="B139" s="11" t="s">
        <v>1576</v>
      </c>
      <c r="C139" s="128">
        <v>12.0</v>
      </c>
      <c r="D139" s="114" t="s">
        <v>5298</v>
      </c>
      <c r="E139" s="114" t="s">
        <v>5345</v>
      </c>
      <c r="F139" s="114" t="s">
        <v>5732</v>
      </c>
      <c r="G139" s="114" t="s">
        <v>5733</v>
      </c>
      <c r="H139" s="130" t="s">
        <v>5734</v>
      </c>
      <c r="I139" s="128">
        <v>131.0</v>
      </c>
      <c r="J139" s="128" t="s">
        <v>423</v>
      </c>
      <c r="K139" s="128"/>
      <c r="L139" s="14"/>
    </row>
    <row r="140" ht="37.5" customHeight="1">
      <c r="A140" s="236"/>
      <c r="B140" s="127" t="s">
        <v>5735</v>
      </c>
      <c r="C140" s="128">
        <v>28.0</v>
      </c>
      <c r="D140" s="130" t="s">
        <v>5256</v>
      </c>
      <c r="E140" s="130" t="s">
        <v>5736</v>
      </c>
      <c r="F140" s="130" t="s">
        <v>5737</v>
      </c>
      <c r="G140" s="130" t="s">
        <v>5738</v>
      </c>
      <c r="H140" s="130" t="s">
        <v>5739</v>
      </c>
      <c r="I140" s="128">
        <v>132.0</v>
      </c>
      <c r="J140" s="157" t="s">
        <v>423</v>
      </c>
    </row>
    <row r="141" ht="37.5" customHeight="1">
      <c r="A141" s="236"/>
      <c r="B141" s="127" t="s">
        <v>5740</v>
      </c>
      <c r="C141" s="128">
        <v>28.0</v>
      </c>
      <c r="D141" s="130" t="s">
        <v>5256</v>
      </c>
      <c r="E141" s="130" t="s">
        <v>5741</v>
      </c>
      <c r="F141" s="130" t="s">
        <v>5742</v>
      </c>
      <c r="G141" s="130" t="s">
        <v>23</v>
      </c>
      <c r="H141" s="130" t="s">
        <v>5743</v>
      </c>
      <c r="I141" s="128">
        <v>133.0</v>
      </c>
      <c r="J141" s="157" t="s">
        <v>423</v>
      </c>
    </row>
    <row r="142" ht="37.5" customHeight="1">
      <c r="A142" s="233"/>
      <c r="B142" s="11" t="s">
        <v>970</v>
      </c>
      <c r="C142" s="128">
        <v>4.0</v>
      </c>
      <c r="D142" s="114" t="s">
        <v>5301</v>
      </c>
      <c r="E142" s="114" t="s">
        <v>5744</v>
      </c>
      <c r="F142" s="114" t="s">
        <v>5745</v>
      </c>
      <c r="G142" s="114" t="s">
        <v>5746</v>
      </c>
      <c r="H142" s="130" t="s">
        <v>5747</v>
      </c>
      <c r="I142" s="128">
        <v>134.0</v>
      </c>
      <c r="J142" s="128" t="s">
        <v>447</v>
      </c>
      <c r="K142" s="128"/>
      <c r="L142" s="14"/>
    </row>
    <row r="143" ht="37.5" customHeight="1">
      <c r="A143" s="233"/>
      <c r="B143" s="11" t="s">
        <v>112</v>
      </c>
      <c r="C143" s="128">
        <v>15.0</v>
      </c>
      <c r="D143" s="114" t="s">
        <v>5301</v>
      </c>
      <c r="E143" s="114" t="s">
        <v>5748</v>
      </c>
      <c r="F143" s="114" t="s">
        <v>5749</v>
      </c>
      <c r="G143" s="114" t="s">
        <v>5750</v>
      </c>
      <c r="H143" s="130" t="s">
        <v>5751</v>
      </c>
      <c r="I143" s="128">
        <v>135.0</v>
      </c>
      <c r="J143" s="128" t="s">
        <v>447</v>
      </c>
      <c r="K143" s="128"/>
      <c r="L143" s="14"/>
    </row>
    <row r="144" ht="37.5" customHeight="1">
      <c r="A144" s="233"/>
      <c r="B144" s="11" t="s">
        <v>981</v>
      </c>
      <c r="C144" s="128">
        <v>15.0</v>
      </c>
      <c r="D144" s="114" t="s">
        <v>5304</v>
      </c>
      <c r="E144" s="114" t="s">
        <v>5752</v>
      </c>
      <c r="F144" s="114" t="s">
        <v>5753</v>
      </c>
      <c r="G144" s="114" t="s">
        <v>5295</v>
      </c>
      <c r="H144" s="130" t="s">
        <v>5754</v>
      </c>
      <c r="I144" s="128">
        <v>136.0</v>
      </c>
      <c r="J144" s="128" t="s">
        <v>447</v>
      </c>
      <c r="K144" s="128"/>
      <c r="L144" s="14"/>
    </row>
    <row r="145" ht="37.5" customHeight="1">
      <c r="A145" s="233"/>
      <c r="B145" s="11" t="s">
        <v>1037</v>
      </c>
      <c r="C145" s="128">
        <v>16.0</v>
      </c>
      <c r="D145" s="114" t="s">
        <v>5304</v>
      </c>
      <c r="E145" s="114" t="s">
        <v>5345</v>
      </c>
      <c r="F145" s="114" t="s">
        <v>5755</v>
      </c>
      <c r="G145" s="114" t="s">
        <v>5756</v>
      </c>
      <c r="H145" s="130" t="s">
        <v>5757</v>
      </c>
      <c r="I145" s="128">
        <v>137.0</v>
      </c>
      <c r="J145" s="128" t="s">
        <v>447</v>
      </c>
      <c r="K145" s="128"/>
      <c r="L145" s="14"/>
    </row>
    <row r="146" ht="37.5" customHeight="1">
      <c r="A146" s="233"/>
      <c r="B146" s="11" t="s">
        <v>5758</v>
      </c>
      <c r="C146" s="128">
        <v>27.0</v>
      </c>
      <c r="D146" s="130" t="s">
        <v>5304</v>
      </c>
      <c r="E146" s="114" t="s">
        <v>5759</v>
      </c>
      <c r="F146" s="130" t="s">
        <v>5760</v>
      </c>
      <c r="G146" s="130" t="s">
        <v>5325</v>
      </c>
      <c r="H146" s="130" t="s">
        <v>5761</v>
      </c>
      <c r="I146" s="128">
        <v>138.0</v>
      </c>
      <c r="J146" s="128" t="s">
        <v>447</v>
      </c>
      <c r="K146" s="128"/>
      <c r="L146" s="14"/>
    </row>
    <row r="147" ht="37.5" customHeight="1">
      <c r="A147" s="233"/>
      <c r="B147" s="11" t="s">
        <v>1633</v>
      </c>
      <c r="C147" s="128">
        <v>1.0</v>
      </c>
      <c r="D147" s="114" t="s">
        <v>5304</v>
      </c>
      <c r="E147" s="114" t="s">
        <v>5345</v>
      </c>
      <c r="F147" s="114" t="s">
        <v>5762</v>
      </c>
      <c r="G147" s="114" t="s">
        <v>5389</v>
      </c>
      <c r="H147" s="130" t="s">
        <v>5763</v>
      </c>
      <c r="I147" s="128">
        <v>139.0</v>
      </c>
      <c r="J147" s="128" t="s">
        <v>447</v>
      </c>
      <c r="K147" s="128"/>
      <c r="L147" s="14"/>
    </row>
    <row r="148" ht="37.5" customHeight="1">
      <c r="A148" s="233"/>
      <c r="B148" s="11" t="s">
        <v>1580</v>
      </c>
      <c r="C148" s="128">
        <v>21.0</v>
      </c>
      <c r="D148" s="114" t="s">
        <v>5304</v>
      </c>
      <c r="E148" s="114" t="s">
        <v>5764</v>
      </c>
      <c r="F148" s="114" t="s">
        <v>5765</v>
      </c>
      <c r="G148" s="114" t="s">
        <v>5766</v>
      </c>
      <c r="H148" s="130" t="s">
        <v>5767</v>
      </c>
      <c r="I148" s="128">
        <v>140.0</v>
      </c>
      <c r="J148" s="128" t="s">
        <v>447</v>
      </c>
    </row>
    <row r="149" ht="37.5" customHeight="1">
      <c r="A149" s="236"/>
      <c r="B149" s="127" t="s">
        <v>5768</v>
      </c>
      <c r="C149" s="128">
        <v>28.0</v>
      </c>
      <c r="D149" s="130" t="s">
        <v>5769</v>
      </c>
      <c r="E149" s="130" t="s">
        <v>5770</v>
      </c>
      <c r="F149" s="130" t="s">
        <v>5771</v>
      </c>
      <c r="G149" s="130" t="s">
        <v>23</v>
      </c>
      <c r="H149" s="130" t="s">
        <v>5772</v>
      </c>
      <c r="I149" s="128">
        <v>141.0</v>
      </c>
      <c r="J149" s="157" t="s">
        <v>447</v>
      </c>
      <c r="K149" s="128"/>
      <c r="L149" s="14"/>
    </row>
    <row r="150" ht="37.5" customHeight="1">
      <c r="A150" s="233"/>
      <c r="B150" s="11" t="s">
        <v>1046</v>
      </c>
      <c r="C150" s="128">
        <v>4.0</v>
      </c>
      <c r="D150" s="114" t="s">
        <v>4632</v>
      </c>
      <c r="E150" s="114" t="s">
        <v>5773</v>
      </c>
      <c r="F150" s="114" t="s">
        <v>5774</v>
      </c>
      <c r="G150" s="114" t="s">
        <v>5658</v>
      </c>
      <c r="H150" s="130" t="s">
        <v>5775</v>
      </c>
      <c r="I150" s="128">
        <v>142.0</v>
      </c>
      <c r="J150" s="128" t="s">
        <v>447</v>
      </c>
      <c r="K150" s="128"/>
      <c r="L150" s="14"/>
    </row>
    <row r="151" ht="37.5" customHeight="1">
      <c r="A151" s="233"/>
      <c r="B151" s="127" t="s">
        <v>733</v>
      </c>
      <c r="C151" s="128">
        <v>26.0</v>
      </c>
      <c r="D151" s="130" t="s">
        <v>5298</v>
      </c>
      <c r="E151" s="130" t="s">
        <v>5453</v>
      </c>
      <c r="F151" s="130" t="s">
        <v>5776</v>
      </c>
      <c r="G151" s="130" t="s">
        <v>5633</v>
      </c>
      <c r="H151" s="130" t="s">
        <v>5777</v>
      </c>
      <c r="I151" s="128">
        <v>143.0</v>
      </c>
      <c r="J151" s="128" t="s">
        <v>447</v>
      </c>
      <c r="K151" s="128"/>
      <c r="L151" s="14"/>
    </row>
    <row r="152" ht="37.5" customHeight="1">
      <c r="A152" s="233"/>
      <c r="B152" s="11" t="s">
        <v>1026</v>
      </c>
      <c r="C152" s="128">
        <v>5.0</v>
      </c>
      <c r="D152" s="114" t="s">
        <v>4632</v>
      </c>
      <c r="E152" s="114" t="s">
        <v>5778</v>
      </c>
      <c r="F152" s="114" t="s">
        <v>5779</v>
      </c>
      <c r="G152" s="114" t="s">
        <v>12</v>
      </c>
      <c r="H152" s="130" t="s">
        <v>5780</v>
      </c>
      <c r="I152" s="128">
        <v>144.0</v>
      </c>
      <c r="J152" s="128" t="s">
        <v>447</v>
      </c>
      <c r="K152" s="128"/>
      <c r="L152" s="14"/>
    </row>
    <row r="153" ht="37.5" customHeight="1">
      <c r="A153" s="233"/>
      <c r="B153" s="11" t="s">
        <v>977</v>
      </c>
      <c r="C153" s="128">
        <v>4.0</v>
      </c>
      <c r="D153" s="114" t="s">
        <v>4632</v>
      </c>
      <c r="E153" s="114" t="s">
        <v>5781</v>
      </c>
      <c r="F153" s="114" t="s">
        <v>5782</v>
      </c>
      <c r="G153" s="114" t="s">
        <v>5501</v>
      </c>
      <c r="H153" s="130" t="s">
        <v>5783</v>
      </c>
      <c r="I153" s="128">
        <v>145.0</v>
      </c>
      <c r="J153" s="128" t="s">
        <v>447</v>
      </c>
      <c r="K153" s="128"/>
      <c r="L153" s="14"/>
    </row>
    <row r="154" ht="37.5" customHeight="1">
      <c r="A154" s="233"/>
      <c r="B154" s="11" t="s">
        <v>1609</v>
      </c>
      <c r="C154" s="128">
        <v>16.0</v>
      </c>
      <c r="D154" s="114" t="s">
        <v>4632</v>
      </c>
      <c r="E154" s="114" t="s">
        <v>5784</v>
      </c>
      <c r="F154" s="114" t="s">
        <v>5785</v>
      </c>
      <c r="G154" s="114" t="s">
        <v>5786</v>
      </c>
      <c r="H154" s="130" t="s">
        <v>5787</v>
      </c>
      <c r="I154" s="128">
        <v>146.0</v>
      </c>
      <c r="J154" s="128" t="s">
        <v>447</v>
      </c>
      <c r="K154" s="128"/>
      <c r="L154" s="14"/>
    </row>
    <row r="155" ht="37.5" customHeight="1">
      <c r="A155" s="233"/>
      <c r="B155" s="11" t="s">
        <v>960</v>
      </c>
      <c r="C155" s="128">
        <v>7.0</v>
      </c>
      <c r="D155" s="114" t="s">
        <v>4632</v>
      </c>
      <c r="E155" s="114" t="s">
        <v>5788</v>
      </c>
      <c r="F155" s="114" t="s">
        <v>5789</v>
      </c>
      <c r="G155" s="114" t="s">
        <v>5790</v>
      </c>
      <c r="H155" s="130" t="s">
        <v>5791</v>
      </c>
      <c r="I155" s="128">
        <v>147.0</v>
      </c>
      <c r="J155" s="128" t="s">
        <v>447</v>
      </c>
      <c r="K155" s="128"/>
      <c r="L155" s="14"/>
    </row>
    <row r="156" ht="37.5" customHeight="1">
      <c r="A156" s="233"/>
      <c r="B156" s="11" t="s">
        <v>1625</v>
      </c>
      <c r="C156" s="128">
        <v>18.0</v>
      </c>
      <c r="D156" s="114" t="s">
        <v>5792</v>
      </c>
      <c r="E156" s="114" t="s">
        <v>5400</v>
      </c>
      <c r="F156" s="114" t="s">
        <v>5793</v>
      </c>
      <c r="G156" s="114" t="s">
        <v>5794</v>
      </c>
      <c r="H156" s="130" t="s">
        <v>5795</v>
      </c>
      <c r="I156" s="128">
        <v>148.0</v>
      </c>
      <c r="J156" s="128" t="s">
        <v>447</v>
      </c>
      <c r="K156" s="128"/>
      <c r="L156" s="14"/>
    </row>
    <row r="157" ht="37.5" customHeight="1">
      <c r="A157" s="233"/>
      <c r="B157" s="11" t="s">
        <v>118</v>
      </c>
      <c r="C157" s="128">
        <v>1.0</v>
      </c>
      <c r="D157" s="114" t="s">
        <v>5792</v>
      </c>
      <c r="E157" s="114" t="s">
        <v>5796</v>
      </c>
      <c r="F157" s="114" t="s">
        <v>5797</v>
      </c>
      <c r="G157" s="114" t="s">
        <v>5501</v>
      </c>
      <c r="H157" s="130" t="s">
        <v>5795</v>
      </c>
      <c r="I157" s="128">
        <v>149.0</v>
      </c>
      <c r="J157" s="128" t="s">
        <v>447</v>
      </c>
      <c r="K157" s="128"/>
      <c r="L157" s="14"/>
    </row>
    <row r="158" ht="37.5" customHeight="1">
      <c r="A158" s="233"/>
      <c r="B158" s="11" t="s">
        <v>365</v>
      </c>
      <c r="C158" s="128">
        <v>14.0</v>
      </c>
      <c r="D158" s="114" t="s">
        <v>4632</v>
      </c>
      <c r="E158" s="114" t="s">
        <v>5798</v>
      </c>
      <c r="F158" s="114" t="s">
        <v>5799</v>
      </c>
      <c r="G158" s="114" t="s">
        <v>5800</v>
      </c>
      <c r="H158" s="130" t="s">
        <v>5801</v>
      </c>
      <c r="I158" s="128">
        <v>150.0</v>
      </c>
      <c r="J158" s="128" t="s">
        <v>447</v>
      </c>
    </row>
    <row r="159" ht="37.5" customHeight="1">
      <c r="A159" s="233"/>
      <c r="B159" s="11" t="s">
        <v>329</v>
      </c>
      <c r="C159" s="128">
        <v>14.0</v>
      </c>
      <c r="D159" s="114" t="s">
        <v>5424</v>
      </c>
      <c r="E159" s="114" t="s">
        <v>5802</v>
      </c>
      <c r="F159" s="114" t="s">
        <v>5803</v>
      </c>
      <c r="G159" s="114" t="s">
        <v>5804</v>
      </c>
      <c r="H159" s="114" t="s">
        <v>5805</v>
      </c>
      <c r="I159" s="128">
        <v>151.0</v>
      </c>
      <c r="J159" s="128" t="s">
        <v>447</v>
      </c>
      <c r="K159" s="128"/>
      <c r="L159" s="14"/>
    </row>
    <row r="160" ht="37.5" customHeight="1">
      <c r="A160" s="233"/>
      <c r="B160" s="11" t="s">
        <v>1595</v>
      </c>
      <c r="C160" s="128">
        <v>1.0</v>
      </c>
      <c r="D160" s="114" t="s">
        <v>5424</v>
      </c>
      <c r="E160" s="114" t="s">
        <v>5806</v>
      </c>
      <c r="F160" s="114" t="s">
        <v>5807</v>
      </c>
      <c r="G160" s="114" t="s">
        <v>5389</v>
      </c>
      <c r="H160" s="114" t="s">
        <v>5808</v>
      </c>
      <c r="I160" s="128">
        <v>152.0</v>
      </c>
      <c r="J160" s="128" t="s">
        <v>447</v>
      </c>
      <c r="K160" s="128"/>
      <c r="L160" s="14"/>
    </row>
    <row r="161" ht="37.5" customHeight="1">
      <c r="A161" s="233"/>
      <c r="B161" s="11" t="s">
        <v>1007</v>
      </c>
      <c r="C161" s="128">
        <v>1.0</v>
      </c>
      <c r="D161" s="114" t="s">
        <v>5301</v>
      </c>
      <c r="E161" s="114" t="s">
        <v>5430</v>
      </c>
      <c r="F161" s="114" t="s">
        <v>5809</v>
      </c>
      <c r="G161" s="114" t="s">
        <v>5295</v>
      </c>
      <c r="H161" s="130" t="s">
        <v>5810</v>
      </c>
      <c r="I161" s="128">
        <v>153.0</v>
      </c>
      <c r="J161" s="128" t="s">
        <v>447</v>
      </c>
      <c r="K161" s="128"/>
      <c r="L161" s="14"/>
    </row>
    <row r="162" ht="37.5" customHeight="1">
      <c r="A162" s="233"/>
      <c r="B162" s="11" t="s">
        <v>1627</v>
      </c>
      <c r="C162" s="128">
        <v>1.0</v>
      </c>
      <c r="D162" s="114" t="s">
        <v>5362</v>
      </c>
      <c r="E162" s="114" t="s">
        <v>5811</v>
      </c>
      <c r="F162" s="114" t="s">
        <v>5416</v>
      </c>
      <c r="G162" s="114" t="s">
        <v>5812</v>
      </c>
      <c r="H162" s="130" t="s">
        <v>5813</v>
      </c>
      <c r="I162" s="128">
        <v>154.0</v>
      </c>
      <c r="J162" s="128" t="s">
        <v>447</v>
      </c>
      <c r="K162" s="128"/>
      <c r="L162" s="14"/>
    </row>
    <row r="163" ht="37.5" customHeight="1">
      <c r="A163" s="233"/>
      <c r="B163" s="11" t="s">
        <v>1597</v>
      </c>
      <c r="C163" s="128">
        <v>15.0</v>
      </c>
      <c r="D163" s="114" t="s">
        <v>5424</v>
      </c>
      <c r="E163" s="114" t="s">
        <v>5814</v>
      </c>
      <c r="F163" s="114" t="s">
        <v>5815</v>
      </c>
      <c r="G163" s="114" t="s">
        <v>5295</v>
      </c>
      <c r="H163" s="130" t="s">
        <v>5816</v>
      </c>
      <c r="I163" s="128">
        <v>155.0</v>
      </c>
      <c r="J163" s="128" t="s">
        <v>447</v>
      </c>
      <c r="K163" s="128"/>
      <c r="L163" s="14"/>
    </row>
    <row r="164" ht="37.5" customHeight="1">
      <c r="A164" s="233"/>
      <c r="B164" s="11" t="s">
        <v>1544</v>
      </c>
      <c r="C164" s="128">
        <v>7.0</v>
      </c>
      <c r="D164" s="114" t="s">
        <v>5424</v>
      </c>
      <c r="E164" s="114" t="s">
        <v>5817</v>
      </c>
      <c r="F164" s="114" t="s">
        <v>5818</v>
      </c>
      <c r="G164" s="114" t="s">
        <v>5295</v>
      </c>
      <c r="H164" s="130" t="s">
        <v>5819</v>
      </c>
      <c r="I164" s="128">
        <v>156.0</v>
      </c>
      <c r="J164" s="128" t="s">
        <v>447</v>
      </c>
      <c r="K164" s="128"/>
      <c r="L164" s="14"/>
    </row>
    <row r="165" ht="37.5" customHeight="1">
      <c r="A165" s="233"/>
      <c r="B165" s="11" t="s">
        <v>311</v>
      </c>
      <c r="C165" s="128">
        <v>1.0</v>
      </c>
      <c r="D165" s="114" t="s">
        <v>5273</v>
      </c>
      <c r="E165" s="114" t="s">
        <v>5820</v>
      </c>
      <c r="F165" s="114" t="s">
        <v>5821</v>
      </c>
      <c r="G165" s="114" t="s">
        <v>5822</v>
      </c>
      <c r="H165" s="130" t="s">
        <v>5823</v>
      </c>
      <c r="I165" s="128">
        <v>157.0</v>
      </c>
      <c r="J165" s="128" t="s">
        <v>447</v>
      </c>
      <c r="K165" s="128"/>
      <c r="L165" s="14"/>
    </row>
    <row r="166" ht="37.5" customHeight="1">
      <c r="A166" s="233"/>
      <c r="B166" s="11" t="s">
        <v>904</v>
      </c>
      <c r="C166" s="128">
        <v>16.0</v>
      </c>
      <c r="D166" s="114" t="s">
        <v>4632</v>
      </c>
      <c r="E166" s="114" t="s">
        <v>5824</v>
      </c>
      <c r="F166" s="114" t="s">
        <v>5825</v>
      </c>
      <c r="G166" s="114" t="s">
        <v>5826</v>
      </c>
      <c r="H166" s="130" t="s">
        <v>5711</v>
      </c>
      <c r="I166" s="128">
        <v>158.0</v>
      </c>
      <c r="J166" s="128" t="s">
        <v>447</v>
      </c>
      <c r="K166" s="128"/>
      <c r="L166" s="128"/>
    </row>
    <row r="167" ht="37.5" customHeight="1">
      <c r="A167" s="236"/>
      <c r="B167" s="127" t="s">
        <v>5827</v>
      </c>
      <c r="C167" s="128">
        <v>28.0</v>
      </c>
      <c r="D167" s="130" t="s">
        <v>5524</v>
      </c>
      <c r="E167" s="130" t="s">
        <v>5828</v>
      </c>
      <c r="F167" s="130" t="s">
        <v>5829</v>
      </c>
      <c r="G167" s="130" t="s">
        <v>23</v>
      </c>
      <c r="H167" s="130" t="s">
        <v>5830</v>
      </c>
      <c r="I167" s="128">
        <v>159.0</v>
      </c>
      <c r="J167" s="157" t="s">
        <v>447</v>
      </c>
      <c r="K167" s="128"/>
      <c r="L167" s="14"/>
    </row>
    <row r="168" ht="37.5" customHeight="1">
      <c r="A168" s="233"/>
      <c r="B168" s="11" t="s">
        <v>1619</v>
      </c>
      <c r="C168" s="128">
        <v>9.0</v>
      </c>
      <c r="D168" s="114" t="s">
        <v>4632</v>
      </c>
      <c r="E168" s="114" t="s">
        <v>5831</v>
      </c>
      <c r="F168" s="114" t="s">
        <v>5832</v>
      </c>
      <c r="G168" s="114" t="s">
        <v>5501</v>
      </c>
      <c r="H168" s="130" t="s">
        <v>5833</v>
      </c>
      <c r="I168" s="128">
        <v>160.0</v>
      </c>
      <c r="J168" s="128" t="s">
        <v>447</v>
      </c>
      <c r="K168" s="128"/>
      <c r="L168" s="14"/>
    </row>
    <row r="169" ht="37.5" customHeight="1">
      <c r="A169" s="233"/>
      <c r="B169" s="11" t="s">
        <v>1621</v>
      </c>
      <c r="C169" s="128">
        <v>23.0</v>
      </c>
      <c r="D169" s="114" t="s">
        <v>4632</v>
      </c>
      <c r="E169" s="114" t="s">
        <v>5370</v>
      </c>
      <c r="F169" s="114" t="s">
        <v>5832</v>
      </c>
      <c r="G169" s="114" t="s">
        <v>5501</v>
      </c>
      <c r="H169" s="130" t="s">
        <v>5833</v>
      </c>
      <c r="I169" s="128">
        <v>161.0</v>
      </c>
      <c r="J169" s="128" t="s">
        <v>447</v>
      </c>
      <c r="K169" s="128"/>
      <c r="L169" s="14"/>
    </row>
    <row r="170" ht="37.5" customHeight="1">
      <c r="A170" s="233"/>
      <c r="B170" s="11" t="s">
        <v>1635</v>
      </c>
      <c r="C170" s="128">
        <v>10.0</v>
      </c>
      <c r="D170" s="114" t="s">
        <v>5301</v>
      </c>
      <c r="E170" s="114" t="s">
        <v>5834</v>
      </c>
      <c r="F170" s="114" t="s">
        <v>5835</v>
      </c>
      <c r="G170" s="114" t="s">
        <v>12</v>
      </c>
      <c r="H170" s="130" t="s">
        <v>5836</v>
      </c>
      <c r="I170" s="128">
        <v>162.0</v>
      </c>
      <c r="J170" s="128" t="s">
        <v>447</v>
      </c>
      <c r="K170" s="128"/>
      <c r="L170" s="14"/>
    </row>
    <row r="171" ht="37.5" customHeight="1">
      <c r="A171" s="233"/>
      <c r="B171" s="11" t="s">
        <v>1602</v>
      </c>
      <c r="C171" s="128">
        <v>9.0</v>
      </c>
      <c r="D171" s="114" t="s">
        <v>5301</v>
      </c>
      <c r="E171" s="114" t="s">
        <v>5837</v>
      </c>
      <c r="F171" s="114" t="s">
        <v>5838</v>
      </c>
      <c r="G171" s="114" t="s">
        <v>5750</v>
      </c>
      <c r="H171" s="130" t="s">
        <v>5839</v>
      </c>
      <c r="I171" s="128">
        <v>163.0</v>
      </c>
      <c r="J171" s="128" t="s">
        <v>447</v>
      </c>
    </row>
    <row r="172" ht="37.5" customHeight="1">
      <c r="A172" s="236"/>
      <c r="B172" s="127" t="s">
        <v>5840</v>
      </c>
      <c r="C172" s="128">
        <v>28.0</v>
      </c>
      <c r="D172" s="130" t="s">
        <v>5769</v>
      </c>
      <c r="E172" s="130" t="s">
        <v>5841</v>
      </c>
      <c r="F172" s="130" t="s">
        <v>5842</v>
      </c>
      <c r="G172" s="130" t="s">
        <v>23</v>
      </c>
      <c r="H172" s="130" t="s">
        <v>5843</v>
      </c>
      <c r="I172" s="128">
        <v>164.0</v>
      </c>
      <c r="J172" s="128" t="s">
        <v>447</v>
      </c>
      <c r="K172" s="128"/>
      <c r="L172" s="14"/>
    </row>
    <row r="173" ht="37.5" customHeight="1">
      <c r="A173" s="233"/>
      <c r="B173" s="11" t="s">
        <v>79</v>
      </c>
      <c r="C173" s="128">
        <v>12.0</v>
      </c>
      <c r="D173" s="114" t="s">
        <v>5301</v>
      </c>
      <c r="E173" s="114" t="s">
        <v>5844</v>
      </c>
      <c r="F173" s="114" t="s">
        <v>5845</v>
      </c>
      <c r="G173" s="114" t="s">
        <v>5846</v>
      </c>
      <c r="H173" s="130" t="s">
        <v>5847</v>
      </c>
      <c r="I173" s="128">
        <v>165.0</v>
      </c>
      <c r="J173" s="128" t="s">
        <v>447</v>
      </c>
      <c r="K173" s="128"/>
      <c r="L173" s="128"/>
    </row>
    <row r="174" ht="37.5" customHeight="1">
      <c r="A174" s="233"/>
      <c r="B174" s="11" t="s">
        <v>1028</v>
      </c>
      <c r="C174" s="128">
        <v>16.0</v>
      </c>
      <c r="D174" s="114" t="s">
        <v>5301</v>
      </c>
      <c r="E174" s="114" t="s">
        <v>5848</v>
      </c>
      <c r="F174" s="114" t="s">
        <v>5849</v>
      </c>
      <c r="G174" s="114" t="s">
        <v>5295</v>
      </c>
      <c r="H174" s="130" t="s">
        <v>5836</v>
      </c>
      <c r="I174" s="128">
        <v>166.0</v>
      </c>
      <c r="J174" s="128" t="s">
        <v>447</v>
      </c>
      <c r="K174" s="128"/>
      <c r="L174" s="14"/>
    </row>
    <row r="175" ht="37.5" customHeight="1">
      <c r="A175" s="233"/>
      <c r="B175" s="11" t="s">
        <v>989</v>
      </c>
      <c r="C175" s="128">
        <v>20.0</v>
      </c>
      <c r="D175" s="114" t="s">
        <v>5301</v>
      </c>
      <c r="E175" s="114" t="s">
        <v>5850</v>
      </c>
      <c r="F175" s="114" t="s">
        <v>5851</v>
      </c>
      <c r="G175" s="114" t="s">
        <v>5852</v>
      </c>
      <c r="H175" s="130" t="s">
        <v>5853</v>
      </c>
      <c r="I175" s="128">
        <v>167.0</v>
      </c>
      <c r="J175" s="128" t="s">
        <v>447</v>
      </c>
    </row>
    <row r="176" ht="37.5" customHeight="1">
      <c r="A176" s="233"/>
      <c r="B176" s="11" t="s">
        <v>1629</v>
      </c>
      <c r="C176" s="128">
        <v>16.0</v>
      </c>
      <c r="D176" s="114" t="s">
        <v>4632</v>
      </c>
      <c r="E176" s="114" t="s">
        <v>5854</v>
      </c>
      <c r="F176" s="114" t="s">
        <v>5855</v>
      </c>
      <c r="G176" s="114" t="s">
        <v>5856</v>
      </c>
      <c r="H176" s="130" t="s">
        <v>5857</v>
      </c>
      <c r="I176" s="128">
        <v>168.0</v>
      </c>
      <c r="J176" s="128" t="s">
        <v>447</v>
      </c>
      <c r="K176" s="128"/>
      <c r="L176" s="14"/>
    </row>
    <row r="177" ht="37.5" customHeight="1">
      <c r="A177" s="233"/>
      <c r="B177" s="11" t="s">
        <v>1639</v>
      </c>
      <c r="C177" s="128">
        <v>5.0</v>
      </c>
      <c r="D177" s="114" t="s">
        <v>5792</v>
      </c>
      <c r="E177" s="114" t="s">
        <v>5858</v>
      </c>
      <c r="F177" s="114" t="s">
        <v>5859</v>
      </c>
      <c r="G177" s="114" t="s">
        <v>5860</v>
      </c>
      <c r="H177" s="114" t="s">
        <v>5861</v>
      </c>
      <c r="I177" s="128">
        <v>169.0</v>
      </c>
      <c r="J177" s="128" t="s">
        <v>447</v>
      </c>
      <c r="K177" s="128"/>
      <c r="L177" s="14"/>
    </row>
    <row r="178" ht="37.5" customHeight="1">
      <c r="A178" s="233"/>
      <c r="B178" s="11" t="s">
        <v>1641</v>
      </c>
      <c r="C178" s="128">
        <v>1.0</v>
      </c>
      <c r="D178" s="114" t="s">
        <v>5792</v>
      </c>
      <c r="E178" s="114" t="s">
        <v>5400</v>
      </c>
      <c r="F178" s="114" t="s">
        <v>5862</v>
      </c>
      <c r="G178" s="114" t="s">
        <v>5351</v>
      </c>
      <c r="H178" s="130" t="s">
        <v>5863</v>
      </c>
      <c r="I178" s="128">
        <v>170.0</v>
      </c>
      <c r="J178" s="128" t="s">
        <v>447</v>
      </c>
      <c r="K178" s="128"/>
      <c r="L178" s="14"/>
    </row>
    <row r="179" ht="37.5" customHeight="1">
      <c r="A179" s="233"/>
      <c r="B179" s="127" t="s">
        <v>997</v>
      </c>
      <c r="C179" s="128">
        <v>25.0</v>
      </c>
      <c r="D179" s="130" t="s">
        <v>5792</v>
      </c>
      <c r="E179" s="130" t="s">
        <v>5864</v>
      </c>
      <c r="F179" s="130" t="s">
        <v>5865</v>
      </c>
      <c r="G179" s="130" t="s">
        <v>5866</v>
      </c>
      <c r="H179" s="130" t="s">
        <v>5867</v>
      </c>
      <c r="I179" s="128">
        <v>171.0</v>
      </c>
      <c r="J179" s="128" t="s">
        <v>447</v>
      </c>
      <c r="K179" s="128"/>
      <c r="L179" s="14"/>
    </row>
    <row r="180" ht="37.5" customHeight="1">
      <c r="A180" s="233"/>
      <c r="B180" s="11" t="s">
        <v>1592</v>
      </c>
      <c r="C180" s="128">
        <v>1.0</v>
      </c>
      <c r="D180" s="114" t="s">
        <v>5792</v>
      </c>
      <c r="E180" s="114" t="s">
        <v>5868</v>
      </c>
      <c r="F180" s="114" t="s">
        <v>5869</v>
      </c>
      <c r="G180" s="114" t="s">
        <v>5870</v>
      </c>
      <c r="H180" s="114" t="s">
        <v>5871</v>
      </c>
      <c r="I180" s="128">
        <v>172.0</v>
      </c>
      <c r="J180" s="128" t="s">
        <v>447</v>
      </c>
      <c r="K180" s="128"/>
      <c r="L180" s="14"/>
    </row>
    <row r="181" ht="37.5" customHeight="1">
      <c r="A181" s="233"/>
      <c r="B181" s="11" t="s">
        <v>1022</v>
      </c>
      <c r="C181" s="128">
        <v>7.0</v>
      </c>
      <c r="D181" s="114" t="s">
        <v>5792</v>
      </c>
      <c r="E181" s="114" t="s">
        <v>5872</v>
      </c>
      <c r="F181" s="114" t="s">
        <v>5873</v>
      </c>
      <c r="G181" s="114" t="s">
        <v>12</v>
      </c>
      <c r="H181" s="114" t="s">
        <v>5874</v>
      </c>
      <c r="I181" s="128">
        <v>173.0</v>
      </c>
      <c r="J181" s="128" t="s">
        <v>447</v>
      </c>
      <c r="K181" s="128"/>
      <c r="L181" s="14"/>
    </row>
    <row r="182" ht="37.5" customHeight="1">
      <c r="A182" s="233"/>
      <c r="B182" s="11" t="s">
        <v>1626</v>
      </c>
      <c r="C182" s="128">
        <v>11.0</v>
      </c>
      <c r="D182" s="114" t="s">
        <v>5875</v>
      </c>
      <c r="E182" s="114" t="s">
        <v>5876</v>
      </c>
      <c r="F182" s="114" t="s">
        <v>5877</v>
      </c>
      <c r="G182" s="114" t="s">
        <v>5417</v>
      </c>
      <c r="H182" s="130" t="s">
        <v>5878</v>
      </c>
      <c r="I182" s="128">
        <v>174.0</v>
      </c>
      <c r="J182" s="128" t="s">
        <v>447</v>
      </c>
      <c r="K182" s="128"/>
      <c r="L182" s="14"/>
    </row>
    <row r="183" ht="37.5" customHeight="1">
      <c r="A183" s="233"/>
      <c r="B183" s="11" t="s">
        <v>1622</v>
      </c>
      <c r="C183" s="128">
        <v>15.0</v>
      </c>
      <c r="D183" s="114" t="s">
        <v>5301</v>
      </c>
      <c r="E183" s="114" t="s">
        <v>5879</v>
      </c>
      <c r="F183" s="114" t="s">
        <v>5880</v>
      </c>
      <c r="G183" s="114" t="s">
        <v>5881</v>
      </c>
      <c r="H183" s="130" t="s">
        <v>5882</v>
      </c>
      <c r="I183" s="128">
        <v>175.0</v>
      </c>
      <c r="J183" s="128" t="s">
        <v>447</v>
      </c>
      <c r="K183" s="128"/>
      <c r="L183" s="14"/>
    </row>
    <row r="184" ht="37.5" customHeight="1">
      <c r="A184" s="233"/>
      <c r="B184" s="11" t="s">
        <v>1614</v>
      </c>
      <c r="C184" s="128">
        <v>4.0</v>
      </c>
      <c r="D184" s="114" t="s">
        <v>5304</v>
      </c>
      <c r="E184" s="114" t="s">
        <v>5883</v>
      </c>
      <c r="F184" s="114" t="s">
        <v>5884</v>
      </c>
      <c r="G184" s="114" t="s">
        <v>5432</v>
      </c>
      <c r="H184" s="130" t="s">
        <v>5885</v>
      </c>
      <c r="I184" s="128">
        <v>176.0</v>
      </c>
      <c r="J184" s="128" t="s">
        <v>447</v>
      </c>
      <c r="K184" s="128"/>
      <c r="L184" s="14"/>
    </row>
    <row r="185" ht="37.5" customHeight="1">
      <c r="A185" s="233"/>
      <c r="B185" s="11" t="s">
        <v>973</v>
      </c>
      <c r="C185" s="128">
        <v>1.0</v>
      </c>
      <c r="D185" s="114" t="s">
        <v>5424</v>
      </c>
      <c r="E185" s="114" t="s">
        <v>5400</v>
      </c>
      <c r="F185" s="114" t="s">
        <v>5886</v>
      </c>
      <c r="G185" s="114" t="s">
        <v>12</v>
      </c>
      <c r="H185" s="130" t="s">
        <v>5887</v>
      </c>
      <c r="I185" s="128">
        <v>177.0</v>
      </c>
      <c r="J185" s="128" t="s">
        <v>447</v>
      </c>
      <c r="K185" s="128"/>
      <c r="L185" s="14"/>
    </row>
    <row r="186" ht="37.5" customHeight="1">
      <c r="A186" s="233"/>
      <c r="B186" s="11" t="s">
        <v>1598</v>
      </c>
      <c r="C186" s="128">
        <v>3.0</v>
      </c>
      <c r="D186" s="114" t="s">
        <v>5424</v>
      </c>
      <c r="E186" s="114" t="s">
        <v>5313</v>
      </c>
      <c r="F186" s="114" t="s">
        <v>5888</v>
      </c>
      <c r="G186" s="114" t="s">
        <v>5889</v>
      </c>
      <c r="H186" s="130" t="s">
        <v>5885</v>
      </c>
      <c r="I186" s="128">
        <v>178.0</v>
      </c>
      <c r="J186" s="128" t="s">
        <v>447</v>
      </c>
      <c r="K186" s="128"/>
      <c r="L186" s="14"/>
    </row>
    <row r="187" ht="37.5" customHeight="1">
      <c r="A187" s="233"/>
      <c r="B187" s="11" t="s">
        <v>1558</v>
      </c>
      <c r="C187" s="128">
        <v>24.0</v>
      </c>
      <c r="D187" s="114" t="s">
        <v>5308</v>
      </c>
      <c r="E187" s="114" t="s">
        <v>5345</v>
      </c>
      <c r="F187" s="114" t="s">
        <v>5890</v>
      </c>
      <c r="G187" s="130" t="s">
        <v>5389</v>
      </c>
      <c r="H187" s="130" t="s">
        <v>5891</v>
      </c>
      <c r="I187" s="128">
        <v>179.0</v>
      </c>
      <c r="J187" s="128" t="s">
        <v>447</v>
      </c>
    </row>
    <row r="188" ht="37.5" customHeight="1">
      <c r="A188" s="236"/>
      <c r="B188" s="127" t="s">
        <v>5892</v>
      </c>
      <c r="C188" s="128">
        <v>28.0</v>
      </c>
      <c r="D188" s="130" t="s">
        <v>5308</v>
      </c>
      <c r="E188" s="130" t="s">
        <v>5893</v>
      </c>
      <c r="F188" s="130" t="s">
        <v>5894</v>
      </c>
      <c r="G188" s="130" t="s">
        <v>5895</v>
      </c>
      <c r="H188" s="130" t="s">
        <v>5896</v>
      </c>
      <c r="I188" s="128">
        <v>180.0</v>
      </c>
      <c r="J188" s="157" t="s">
        <v>447</v>
      </c>
      <c r="K188" s="128"/>
      <c r="L188" s="14"/>
    </row>
    <row r="189" ht="37.5" customHeight="1">
      <c r="A189" s="233"/>
      <c r="B189" s="11" t="s">
        <v>1634</v>
      </c>
      <c r="C189" s="128">
        <v>13.0</v>
      </c>
      <c r="D189" s="114" t="s">
        <v>5301</v>
      </c>
      <c r="E189" s="114" t="s">
        <v>5834</v>
      </c>
      <c r="F189" s="114" t="s">
        <v>5897</v>
      </c>
      <c r="G189" s="114" t="s">
        <v>12</v>
      </c>
      <c r="H189" s="130" t="s">
        <v>5898</v>
      </c>
      <c r="I189" s="128">
        <v>181.0</v>
      </c>
      <c r="J189" s="128" t="s">
        <v>447</v>
      </c>
      <c r="K189" s="128"/>
      <c r="L189" s="14"/>
    </row>
    <row r="190" ht="37.5" customHeight="1">
      <c r="A190" s="233"/>
      <c r="B190" s="11" t="s">
        <v>1637</v>
      </c>
      <c r="C190" s="128">
        <v>13.0</v>
      </c>
      <c r="D190" s="114" t="s">
        <v>5424</v>
      </c>
      <c r="E190" s="114" t="s">
        <v>5899</v>
      </c>
      <c r="F190" s="114" t="s">
        <v>5900</v>
      </c>
      <c r="G190" s="114" t="s">
        <v>5377</v>
      </c>
      <c r="H190" s="130" t="s">
        <v>5901</v>
      </c>
      <c r="I190" s="128">
        <v>182.0</v>
      </c>
      <c r="J190" s="128" t="s">
        <v>447</v>
      </c>
      <c r="K190" s="128"/>
      <c r="L190" s="14"/>
    </row>
    <row r="191" ht="37.5" customHeight="1">
      <c r="A191" s="233"/>
      <c r="B191" s="11" t="s">
        <v>1631</v>
      </c>
      <c r="C191" s="128">
        <v>20.0</v>
      </c>
      <c r="D191" s="114" t="s">
        <v>4632</v>
      </c>
      <c r="E191" s="114" t="s">
        <v>5699</v>
      </c>
      <c r="F191" s="114" t="s">
        <v>5902</v>
      </c>
      <c r="G191" s="114" t="s">
        <v>5377</v>
      </c>
      <c r="H191" s="130" t="s">
        <v>5903</v>
      </c>
      <c r="I191" s="128">
        <v>183.0</v>
      </c>
      <c r="J191" s="128" t="s">
        <v>447</v>
      </c>
      <c r="K191" s="128"/>
      <c r="L191" s="14"/>
    </row>
    <row r="192" ht="37.5" customHeight="1">
      <c r="A192" s="233"/>
      <c r="B192" s="11" t="s">
        <v>1600</v>
      </c>
      <c r="C192" s="128">
        <v>15.0</v>
      </c>
      <c r="D192" s="114" t="s">
        <v>4632</v>
      </c>
      <c r="E192" s="114" t="s">
        <v>5904</v>
      </c>
      <c r="F192" s="114" t="s">
        <v>5905</v>
      </c>
      <c r="G192" s="114" t="s">
        <v>5906</v>
      </c>
      <c r="H192" s="130" t="s">
        <v>5907</v>
      </c>
      <c r="I192" s="128">
        <v>184.0</v>
      </c>
      <c r="J192" s="128" t="s">
        <v>447</v>
      </c>
      <c r="K192" s="128"/>
      <c r="L192" s="14"/>
    </row>
    <row r="193" ht="37.5" customHeight="1">
      <c r="A193" s="233"/>
      <c r="B193" s="11" t="s">
        <v>1640</v>
      </c>
      <c r="C193" s="128">
        <v>1.0</v>
      </c>
      <c r="D193" s="114" t="s">
        <v>5256</v>
      </c>
      <c r="E193" s="114" t="s">
        <v>5908</v>
      </c>
      <c r="F193" s="114" t="s">
        <v>5909</v>
      </c>
      <c r="G193" s="114" t="s">
        <v>5910</v>
      </c>
      <c r="H193" s="130" t="s">
        <v>5911</v>
      </c>
      <c r="I193" s="128">
        <v>185.0</v>
      </c>
      <c r="J193" s="128" t="s">
        <v>447</v>
      </c>
      <c r="K193" s="128"/>
      <c r="L193" s="14"/>
    </row>
    <row r="194" ht="37.5" customHeight="1">
      <c r="A194" s="233"/>
      <c r="B194" s="11" t="s">
        <v>1624</v>
      </c>
      <c r="C194" s="128">
        <v>6.0</v>
      </c>
      <c r="D194" s="114" t="s">
        <v>5424</v>
      </c>
      <c r="E194" s="114" t="s">
        <v>5912</v>
      </c>
      <c r="F194" s="114" t="s">
        <v>5913</v>
      </c>
      <c r="G194" s="114" t="s">
        <v>12</v>
      </c>
      <c r="H194" s="130" t="s">
        <v>5885</v>
      </c>
      <c r="I194" s="128">
        <v>186.0</v>
      </c>
      <c r="J194" s="128" t="s">
        <v>447</v>
      </c>
      <c r="K194" s="128"/>
      <c r="L194" s="14"/>
    </row>
    <row r="195" ht="37.5" customHeight="1">
      <c r="A195" s="233"/>
      <c r="B195" s="11" t="s">
        <v>1642</v>
      </c>
      <c r="C195" s="128">
        <v>4.0</v>
      </c>
      <c r="D195" s="114" t="s">
        <v>5301</v>
      </c>
      <c r="E195" s="114" t="s">
        <v>5914</v>
      </c>
      <c r="F195" s="114" t="s">
        <v>5915</v>
      </c>
      <c r="G195" s="114" t="s">
        <v>5916</v>
      </c>
      <c r="H195" s="130" t="s">
        <v>5917</v>
      </c>
      <c r="I195" s="128">
        <v>187.0</v>
      </c>
      <c r="J195" s="128" t="s">
        <v>447</v>
      </c>
      <c r="K195" s="128"/>
      <c r="L195" s="14"/>
    </row>
    <row r="196" ht="37.5" customHeight="1">
      <c r="A196" s="233"/>
      <c r="B196" s="11" t="s">
        <v>1032</v>
      </c>
      <c r="C196" s="128">
        <v>16.0</v>
      </c>
      <c r="D196" s="114" t="s">
        <v>5792</v>
      </c>
      <c r="E196" s="114" t="s">
        <v>5345</v>
      </c>
      <c r="F196" s="114" t="s">
        <v>5918</v>
      </c>
      <c r="G196" s="114" t="s">
        <v>5295</v>
      </c>
      <c r="H196" s="130" t="s">
        <v>5792</v>
      </c>
      <c r="I196" s="128">
        <v>188.0</v>
      </c>
      <c r="J196" s="128" t="s">
        <v>447</v>
      </c>
      <c r="K196" s="128"/>
      <c r="L196" s="14"/>
    </row>
    <row r="197" ht="37.5" customHeight="1">
      <c r="A197" s="233"/>
      <c r="B197" s="11" t="s">
        <v>994</v>
      </c>
      <c r="C197" s="128">
        <v>11.0</v>
      </c>
      <c r="D197" s="114" t="s">
        <v>5792</v>
      </c>
      <c r="E197" s="114" t="s">
        <v>5345</v>
      </c>
      <c r="F197" s="114" t="s">
        <v>5919</v>
      </c>
      <c r="G197" s="114" t="s">
        <v>5389</v>
      </c>
      <c r="H197" s="130" t="s">
        <v>5792</v>
      </c>
      <c r="I197" s="128">
        <v>189.0</v>
      </c>
      <c r="J197" s="128" t="s">
        <v>708</v>
      </c>
      <c r="K197" s="128"/>
      <c r="L197" s="14"/>
    </row>
    <row r="198" ht="37.5" customHeight="1">
      <c r="A198" s="233"/>
      <c r="B198" s="11" t="s">
        <v>1027</v>
      </c>
      <c r="C198" s="128">
        <v>19.0</v>
      </c>
      <c r="D198" s="114" t="s">
        <v>5792</v>
      </c>
      <c r="E198" s="114" t="s">
        <v>5920</v>
      </c>
      <c r="F198" s="114" t="s">
        <v>5921</v>
      </c>
      <c r="G198" s="114" t="s">
        <v>23</v>
      </c>
      <c r="H198" s="130" t="s">
        <v>5792</v>
      </c>
      <c r="I198" s="128">
        <v>190.0</v>
      </c>
      <c r="J198" s="128" t="s">
        <v>708</v>
      </c>
      <c r="K198" s="128"/>
      <c r="L198" s="14"/>
    </row>
    <row r="199" ht="37.5" customHeight="1">
      <c r="A199" s="233"/>
      <c r="B199" s="11" t="s">
        <v>1601</v>
      </c>
      <c r="C199" s="128">
        <v>1.0</v>
      </c>
      <c r="D199" s="114" t="s">
        <v>5792</v>
      </c>
      <c r="E199" s="114" t="s">
        <v>5922</v>
      </c>
      <c r="F199" s="114" t="s">
        <v>5923</v>
      </c>
      <c r="G199" s="114" t="s">
        <v>5924</v>
      </c>
      <c r="H199" s="130" t="s">
        <v>5792</v>
      </c>
      <c r="I199" s="128">
        <v>191.0</v>
      </c>
      <c r="J199" s="128" t="s">
        <v>708</v>
      </c>
      <c r="K199" s="128"/>
      <c r="L199" s="14"/>
    </row>
    <row r="200" ht="37.5" customHeight="1">
      <c r="A200" s="233"/>
      <c r="B200" s="11" t="s">
        <v>1632</v>
      </c>
      <c r="C200" s="128">
        <v>1.0</v>
      </c>
      <c r="D200" s="114" t="s">
        <v>5792</v>
      </c>
      <c r="E200" s="114" t="s">
        <v>5925</v>
      </c>
      <c r="F200" s="114" t="s">
        <v>5926</v>
      </c>
      <c r="G200" s="114" t="s">
        <v>5351</v>
      </c>
      <c r="H200" s="130" t="s">
        <v>5792</v>
      </c>
      <c r="I200" s="128">
        <v>192.0</v>
      </c>
      <c r="J200" s="128" t="s">
        <v>708</v>
      </c>
      <c r="K200" s="128"/>
      <c r="L200" s="14"/>
    </row>
    <row r="201" ht="37.5" customHeight="1">
      <c r="A201" s="233"/>
      <c r="B201" s="11" t="s">
        <v>1051</v>
      </c>
      <c r="C201" s="128">
        <v>17.0</v>
      </c>
      <c r="D201" s="114" t="s">
        <v>5792</v>
      </c>
      <c r="E201" s="114" t="s">
        <v>5927</v>
      </c>
      <c r="F201" s="114" t="s">
        <v>5928</v>
      </c>
      <c r="G201" s="114" t="s">
        <v>5846</v>
      </c>
      <c r="H201" s="130" t="s">
        <v>5665</v>
      </c>
      <c r="I201" s="128">
        <v>193.0</v>
      </c>
      <c r="J201" s="128" t="s">
        <v>708</v>
      </c>
      <c r="K201" s="128"/>
      <c r="L201" s="14"/>
    </row>
    <row r="202" ht="37.5" customHeight="1">
      <c r="A202" s="233"/>
      <c r="B202" s="11" t="s">
        <v>985</v>
      </c>
      <c r="C202" s="128">
        <v>1.0</v>
      </c>
      <c r="D202" s="114" t="s">
        <v>5792</v>
      </c>
      <c r="E202" s="114" t="s">
        <v>5929</v>
      </c>
      <c r="F202" s="114" t="s">
        <v>5930</v>
      </c>
      <c r="G202" s="114" t="s">
        <v>5351</v>
      </c>
      <c r="H202" s="130" t="s">
        <v>5792</v>
      </c>
      <c r="I202" s="128">
        <v>194.0</v>
      </c>
      <c r="J202" s="128" t="s">
        <v>708</v>
      </c>
      <c r="K202" s="128"/>
      <c r="L202" s="14"/>
    </row>
    <row r="203" ht="37.5" customHeight="1">
      <c r="A203" s="233"/>
      <c r="B203" s="11" t="s">
        <v>1605</v>
      </c>
      <c r="C203" s="128">
        <v>1.0</v>
      </c>
      <c r="D203" s="114" t="s">
        <v>5792</v>
      </c>
      <c r="E203" s="114" t="s">
        <v>5914</v>
      </c>
      <c r="F203" s="114" t="s">
        <v>5931</v>
      </c>
      <c r="G203" s="114" t="s">
        <v>5501</v>
      </c>
      <c r="H203" s="130" t="s">
        <v>5792</v>
      </c>
      <c r="I203" s="128">
        <v>195.0</v>
      </c>
      <c r="J203" s="128" t="s">
        <v>708</v>
      </c>
      <c r="K203" s="128"/>
      <c r="L203" s="14"/>
    </row>
    <row r="204" ht="37.5" customHeight="1">
      <c r="A204" s="233"/>
      <c r="B204" s="11" t="s">
        <v>979</v>
      </c>
      <c r="C204" s="128">
        <v>18.0</v>
      </c>
      <c r="D204" s="114" t="s">
        <v>5792</v>
      </c>
      <c r="E204" s="114" t="s">
        <v>5773</v>
      </c>
      <c r="F204" s="114" t="s">
        <v>5932</v>
      </c>
      <c r="G204" s="114" t="s">
        <v>5933</v>
      </c>
      <c r="H204" s="130" t="s">
        <v>5792</v>
      </c>
      <c r="I204" s="128">
        <v>196.0</v>
      </c>
      <c r="J204" s="128" t="s">
        <v>708</v>
      </c>
      <c r="K204" s="128"/>
      <c r="L204" s="14"/>
    </row>
    <row r="205" ht="37.5" customHeight="1">
      <c r="A205" s="233"/>
      <c r="B205" s="11" t="s">
        <v>1606</v>
      </c>
      <c r="C205" s="128">
        <v>17.0</v>
      </c>
      <c r="D205" s="114" t="s">
        <v>5792</v>
      </c>
      <c r="E205" s="114" t="s">
        <v>5934</v>
      </c>
      <c r="F205" s="114" t="s">
        <v>5935</v>
      </c>
      <c r="G205" s="114" t="s">
        <v>5936</v>
      </c>
      <c r="H205" s="130" t="s">
        <v>5792</v>
      </c>
      <c r="I205" s="128">
        <v>197.0</v>
      </c>
      <c r="J205" s="128" t="s">
        <v>708</v>
      </c>
      <c r="K205" s="128"/>
      <c r="L205" s="14"/>
    </row>
    <row r="206" ht="37.5" customHeight="1">
      <c r="A206" s="233"/>
      <c r="B206" s="11" t="s">
        <v>1042</v>
      </c>
      <c r="C206" s="128">
        <v>24.0</v>
      </c>
      <c r="D206" s="114" t="s">
        <v>5792</v>
      </c>
      <c r="E206" s="114" t="s">
        <v>5305</v>
      </c>
      <c r="F206" s="114" t="s">
        <v>5937</v>
      </c>
      <c r="G206" s="114" t="s">
        <v>5306</v>
      </c>
      <c r="H206" s="130" t="s">
        <v>5938</v>
      </c>
      <c r="I206" s="128">
        <v>198.0</v>
      </c>
      <c r="J206" s="128" t="s">
        <v>708</v>
      </c>
      <c r="K206" s="128"/>
      <c r="L206" s="14"/>
    </row>
    <row r="207" ht="37.5" customHeight="1">
      <c r="A207" s="233"/>
      <c r="B207" s="11" t="s">
        <v>1613</v>
      </c>
      <c r="C207" s="128">
        <v>13.0</v>
      </c>
      <c r="D207" s="114" t="s">
        <v>5792</v>
      </c>
      <c r="E207" s="114" t="s">
        <v>5400</v>
      </c>
      <c r="F207" s="114" t="s">
        <v>5939</v>
      </c>
      <c r="G207" s="130" t="s">
        <v>5351</v>
      </c>
      <c r="H207" s="130" t="s">
        <v>5792</v>
      </c>
      <c r="I207" s="128">
        <v>199.0</v>
      </c>
      <c r="J207" s="128" t="s">
        <v>708</v>
      </c>
      <c r="K207" s="128"/>
      <c r="L207" s="14"/>
    </row>
    <row r="208" ht="37.5" customHeight="1">
      <c r="A208" s="233"/>
      <c r="B208" s="11" t="s">
        <v>5940</v>
      </c>
      <c r="C208" s="128">
        <v>27.0</v>
      </c>
      <c r="D208" s="130" t="s">
        <v>5792</v>
      </c>
      <c r="E208" s="130" t="s">
        <v>5941</v>
      </c>
      <c r="F208" s="114" t="s">
        <v>5942</v>
      </c>
      <c r="G208" s="130" t="s">
        <v>5377</v>
      </c>
      <c r="H208" s="130" t="s">
        <v>5792</v>
      </c>
      <c r="I208" s="128">
        <v>200.0</v>
      </c>
      <c r="J208" s="128" t="s">
        <v>708</v>
      </c>
      <c r="K208" s="128"/>
      <c r="L208" s="14"/>
    </row>
    <row r="209" ht="37.5" customHeight="1">
      <c r="A209" s="233"/>
      <c r="B209" s="11" t="s">
        <v>1556</v>
      </c>
      <c r="C209" s="128">
        <v>16.0</v>
      </c>
      <c r="D209" s="114" t="s">
        <v>4632</v>
      </c>
      <c r="E209" s="114" t="s">
        <v>5699</v>
      </c>
      <c r="F209" s="114" t="s">
        <v>5943</v>
      </c>
      <c r="G209" s="114" t="s">
        <v>5377</v>
      </c>
      <c r="H209" s="130" t="s">
        <v>5944</v>
      </c>
      <c r="I209" s="128">
        <v>201.0</v>
      </c>
      <c r="J209" s="128" t="s">
        <v>708</v>
      </c>
      <c r="K209" s="128"/>
      <c r="L209" s="14"/>
    </row>
    <row r="210" ht="37.5" customHeight="1">
      <c r="A210" s="233"/>
      <c r="B210" s="11" t="s">
        <v>1616</v>
      </c>
      <c r="C210" s="128">
        <v>7.0</v>
      </c>
      <c r="D210" s="114" t="s">
        <v>5792</v>
      </c>
      <c r="E210" s="114" t="s">
        <v>5945</v>
      </c>
      <c r="F210" s="114" t="s">
        <v>5946</v>
      </c>
      <c r="G210" s="114" t="s">
        <v>5947</v>
      </c>
      <c r="H210" s="130" t="s">
        <v>5792</v>
      </c>
      <c r="I210" s="128">
        <v>202.0</v>
      </c>
      <c r="J210" s="128" t="s">
        <v>708</v>
      </c>
    </row>
    <row r="211" ht="37.5" customHeight="1">
      <c r="A211" s="233"/>
      <c r="B211" s="11" t="s">
        <v>1594</v>
      </c>
      <c r="C211" s="128">
        <v>17.0</v>
      </c>
      <c r="D211" s="114" t="s">
        <v>5792</v>
      </c>
      <c r="E211" s="114" t="s">
        <v>5948</v>
      </c>
      <c r="F211" s="114" t="s">
        <v>5949</v>
      </c>
      <c r="G211" s="114" t="s">
        <v>5950</v>
      </c>
      <c r="H211" s="130" t="s">
        <v>5792</v>
      </c>
      <c r="I211" s="128">
        <v>203.0</v>
      </c>
      <c r="J211" s="128" t="s">
        <v>708</v>
      </c>
      <c r="K211" s="128"/>
      <c r="L211" s="14"/>
    </row>
    <row r="212" ht="37.5" customHeight="1">
      <c r="A212" s="236"/>
      <c r="B212" s="127" t="s">
        <v>5951</v>
      </c>
      <c r="C212" s="128">
        <v>28.0</v>
      </c>
      <c r="D212" s="130" t="s">
        <v>5792</v>
      </c>
      <c r="E212" s="130" t="s">
        <v>5952</v>
      </c>
      <c r="F212" s="130" t="s">
        <v>5953</v>
      </c>
      <c r="G212" s="130" t="s">
        <v>23</v>
      </c>
      <c r="H212" s="130" t="s">
        <v>5792</v>
      </c>
      <c r="I212" s="128">
        <v>204.0</v>
      </c>
      <c r="J212" s="157" t="s">
        <v>708</v>
      </c>
      <c r="K212" s="128"/>
      <c r="L212" s="14"/>
    </row>
    <row r="213" ht="37.5" customHeight="1">
      <c r="A213" s="233"/>
      <c r="B213" s="11" t="s">
        <v>1045</v>
      </c>
      <c r="C213" s="128">
        <v>24.0</v>
      </c>
      <c r="D213" s="114" t="s">
        <v>5792</v>
      </c>
      <c r="E213" s="114" t="s">
        <v>5954</v>
      </c>
      <c r="F213" s="114" t="s">
        <v>5955</v>
      </c>
      <c r="G213" s="114" t="s">
        <v>5956</v>
      </c>
      <c r="H213" s="130" t="s">
        <v>5792</v>
      </c>
      <c r="I213" s="128">
        <v>205.0</v>
      </c>
      <c r="J213" s="128" t="s">
        <v>708</v>
      </c>
      <c r="K213" s="128"/>
      <c r="L213" s="14"/>
    </row>
    <row r="214" ht="37.5" customHeight="1">
      <c r="A214" s="233"/>
      <c r="B214" s="11" t="s">
        <v>1620</v>
      </c>
      <c r="C214" s="128">
        <v>19.0</v>
      </c>
      <c r="D214" s="114" t="s">
        <v>5792</v>
      </c>
      <c r="E214" s="114" t="s">
        <v>5957</v>
      </c>
      <c r="F214" s="114" t="s">
        <v>5958</v>
      </c>
      <c r="G214" s="114" t="s">
        <v>5959</v>
      </c>
      <c r="H214" s="130" t="s">
        <v>5792</v>
      </c>
      <c r="I214" s="128">
        <v>206.0</v>
      </c>
      <c r="J214" s="128" t="s">
        <v>708</v>
      </c>
      <c r="K214" s="128"/>
      <c r="L214" s="14"/>
    </row>
    <row r="215" ht="37.5" customHeight="1">
      <c r="A215" s="233"/>
      <c r="B215" s="11" t="s">
        <v>1596</v>
      </c>
      <c r="C215" s="128">
        <v>22.0</v>
      </c>
      <c r="D215" s="114" t="s">
        <v>5792</v>
      </c>
      <c r="E215" s="114" t="s">
        <v>5345</v>
      </c>
      <c r="F215" s="114" t="s">
        <v>5960</v>
      </c>
      <c r="G215" s="114" t="s">
        <v>5961</v>
      </c>
      <c r="H215" s="130" t="s">
        <v>5792</v>
      </c>
      <c r="I215" s="128">
        <v>207.0</v>
      </c>
      <c r="J215" s="128" t="s">
        <v>708</v>
      </c>
      <c r="K215" s="128"/>
      <c r="L215" s="14"/>
    </row>
    <row r="216" ht="37.5" customHeight="1">
      <c r="A216" s="233"/>
      <c r="B216" s="11" t="s">
        <v>1615</v>
      </c>
      <c r="C216" s="128">
        <v>1.0</v>
      </c>
      <c r="D216" s="114" t="s">
        <v>5792</v>
      </c>
      <c r="E216" s="114" t="s">
        <v>5773</v>
      </c>
      <c r="F216" s="114" t="s">
        <v>5962</v>
      </c>
      <c r="G216" s="114" t="s">
        <v>5963</v>
      </c>
      <c r="H216" s="130" t="s">
        <v>5792</v>
      </c>
      <c r="I216" s="128">
        <v>208.0</v>
      </c>
      <c r="J216" s="128" t="s">
        <v>708</v>
      </c>
      <c r="K216" s="128"/>
      <c r="L216" s="14"/>
    </row>
    <row r="217" ht="37.5" customHeight="1">
      <c r="A217" s="233"/>
      <c r="B217" s="11" t="s">
        <v>1611</v>
      </c>
      <c r="C217" s="128">
        <v>11.0</v>
      </c>
      <c r="D217" s="114" t="s">
        <v>5792</v>
      </c>
      <c r="E217" s="114" t="s">
        <v>5400</v>
      </c>
      <c r="F217" s="114" t="s">
        <v>5964</v>
      </c>
      <c r="G217" s="130" t="s">
        <v>5398</v>
      </c>
      <c r="H217" s="130" t="s">
        <v>5792</v>
      </c>
      <c r="I217" s="128">
        <v>209.0</v>
      </c>
      <c r="J217" s="128" t="s">
        <v>708</v>
      </c>
      <c r="K217" s="128"/>
      <c r="L217" s="14"/>
    </row>
    <row r="218" ht="37.5" customHeight="1">
      <c r="A218" s="233"/>
      <c r="B218" s="11" t="s">
        <v>1628</v>
      </c>
      <c r="C218" s="128">
        <v>14.0</v>
      </c>
      <c r="D218" s="114" t="s">
        <v>5792</v>
      </c>
      <c r="E218" s="114" t="s">
        <v>5689</v>
      </c>
      <c r="F218" s="114" t="s">
        <v>5965</v>
      </c>
      <c r="G218" s="114" t="s">
        <v>5377</v>
      </c>
      <c r="H218" s="130" t="s">
        <v>5792</v>
      </c>
      <c r="I218" s="128">
        <v>210.0</v>
      </c>
      <c r="J218" s="128" t="s">
        <v>708</v>
      </c>
      <c r="K218" s="128"/>
      <c r="L218" s="14"/>
    </row>
    <row r="219" ht="37.5" customHeight="1">
      <c r="A219" s="233"/>
      <c r="B219" s="127" t="s">
        <v>939</v>
      </c>
      <c r="C219" s="128">
        <v>25.0</v>
      </c>
      <c r="D219" s="114" t="s">
        <v>5792</v>
      </c>
      <c r="E219" s="130" t="s">
        <v>5966</v>
      </c>
      <c r="F219" s="130" t="s">
        <v>5967</v>
      </c>
      <c r="G219" s="130" t="s">
        <v>5968</v>
      </c>
      <c r="H219" s="130" t="s">
        <v>5792</v>
      </c>
      <c r="I219" s="128">
        <v>211.0</v>
      </c>
      <c r="J219" s="128" t="s">
        <v>708</v>
      </c>
      <c r="K219" s="128"/>
      <c r="L219" s="14"/>
    </row>
    <row r="220" ht="37.5" customHeight="1">
      <c r="A220" s="233"/>
      <c r="B220" s="11" t="s">
        <v>1608</v>
      </c>
      <c r="C220" s="128">
        <v>1.0</v>
      </c>
      <c r="D220" s="114" t="s">
        <v>5792</v>
      </c>
      <c r="E220" s="114" t="s">
        <v>5969</v>
      </c>
      <c r="F220" s="114" t="s">
        <v>5970</v>
      </c>
      <c r="G220" s="114" t="s">
        <v>5971</v>
      </c>
      <c r="H220" s="130" t="s">
        <v>5792</v>
      </c>
      <c r="I220" s="128">
        <v>212.0</v>
      </c>
      <c r="J220" s="128" t="s">
        <v>708</v>
      </c>
      <c r="K220" s="128"/>
      <c r="L220" s="14"/>
    </row>
    <row r="221" ht="37.5" customHeight="1">
      <c r="A221" s="233"/>
      <c r="B221" s="11" t="s">
        <v>1603</v>
      </c>
      <c r="C221" s="128">
        <v>15.0</v>
      </c>
      <c r="D221" s="114" t="s">
        <v>5792</v>
      </c>
      <c r="E221" s="114" t="s">
        <v>5972</v>
      </c>
      <c r="F221" s="114" t="s">
        <v>5973</v>
      </c>
      <c r="G221" s="114" t="s">
        <v>5389</v>
      </c>
      <c r="H221" s="130" t="s">
        <v>5792</v>
      </c>
      <c r="I221" s="128">
        <v>213.0</v>
      </c>
      <c r="J221" s="128" t="s">
        <v>708</v>
      </c>
      <c r="K221" s="128"/>
      <c r="L221" s="14"/>
    </row>
    <row r="222" ht="37.5" customHeight="1">
      <c r="A222" s="233"/>
      <c r="B222" s="11" t="s">
        <v>5974</v>
      </c>
      <c r="C222" s="128">
        <v>27.0</v>
      </c>
      <c r="D222" s="130" t="s">
        <v>5792</v>
      </c>
      <c r="E222" s="130" t="s">
        <v>5975</v>
      </c>
      <c r="F222" s="130" t="s">
        <v>5976</v>
      </c>
      <c r="G222" s="130" t="s">
        <v>5377</v>
      </c>
      <c r="H222" s="130" t="s">
        <v>5792</v>
      </c>
      <c r="I222" s="128">
        <v>214.0</v>
      </c>
      <c r="J222" s="128" t="s">
        <v>708</v>
      </c>
      <c r="K222" s="128"/>
      <c r="L222" s="14"/>
    </row>
    <row r="223" ht="37.5" customHeight="1">
      <c r="A223" s="233"/>
      <c r="B223" s="11" t="s">
        <v>1607</v>
      </c>
      <c r="C223" s="128">
        <v>14.0</v>
      </c>
      <c r="D223" s="114" t="s">
        <v>5792</v>
      </c>
      <c r="E223" s="114" t="s">
        <v>5977</v>
      </c>
      <c r="F223" s="114" t="s">
        <v>5978</v>
      </c>
      <c r="G223" s="114" t="s">
        <v>5295</v>
      </c>
      <c r="H223" s="130" t="s">
        <v>5792</v>
      </c>
      <c r="I223" s="128">
        <v>215.0</v>
      </c>
      <c r="J223" s="128" t="s">
        <v>708</v>
      </c>
      <c r="K223" s="128"/>
      <c r="L223" s="128"/>
    </row>
    <row r="224" ht="37.5" customHeight="1">
      <c r="A224" s="233"/>
      <c r="B224" s="11" t="s">
        <v>1617</v>
      </c>
      <c r="C224" s="128">
        <v>19.0</v>
      </c>
      <c r="D224" s="114" t="s">
        <v>5792</v>
      </c>
      <c r="E224" s="114" t="s">
        <v>5345</v>
      </c>
      <c r="F224" s="114" t="s">
        <v>5979</v>
      </c>
      <c r="G224" s="114" t="s">
        <v>5295</v>
      </c>
      <c r="H224" s="130" t="s">
        <v>5792</v>
      </c>
      <c r="I224" s="128">
        <v>216.0</v>
      </c>
      <c r="J224" s="128" t="s">
        <v>708</v>
      </c>
      <c r="K224" s="128"/>
      <c r="L224" s="14"/>
    </row>
    <row r="225" ht="37.5" customHeight="1">
      <c r="A225" s="233"/>
      <c r="B225" s="11" t="s">
        <v>1630</v>
      </c>
      <c r="C225" s="128">
        <v>1.0</v>
      </c>
      <c r="D225" s="114" t="s">
        <v>5792</v>
      </c>
      <c r="E225" s="114" t="s">
        <v>5980</v>
      </c>
      <c r="F225" s="114" t="s">
        <v>5981</v>
      </c>
      <c r="G225" s="114" t="s">
        <v>5982</v>
      </c>
      <c r="H225" s="130" t="s">
        <v>5792</v>
      </c>
      <c r="I225" s="128">
        <v>217.0</v>
      </c>
      <c r="J225" s="128" t="s">
        <v>708</v>
      </c>
      <c r="K225" s="128"/>
      <c r="L225" s="14"/>
    </row>
    <row r="226" ht="37.5" customHeight="1">
      <c r="A226" s="233"/>
      <c r="B226" s="11" t="s">
        <v>1623</v>
      </c>
      <c r="C226" s="128">
        <v>3.0</v>
      </c>
      <c r="D226" s="114" t="s">
        <v>5792</v>
      </c>
      <c r="E226" s="114" t="s">
        <v>5773</v>
      </c>
      <c r="F226" s="114" t="s">
        <v>5983</v>
      </c>
      <c r="G226" s="114" t="s">
        <v>5501</v>
      </c>
      <c r="H226" s="130" t="s">
        <v>5792</v>
      </c>
      <c r="I226" s="128">
        <v>218.0</v>
      </c>
      <c r="J226" s="128" t="s">
        <v>708</v>
      </c>
      <c r="K226" s="128"/>
      <c r="L226" s="14"/>
    </row>
    <row r="227" ht="37.5" customHeight="1">
      <c r="A227" s="233"/>
      <c r="B227" s="11" t="s">
        <v>1618</v>
      </c>
      <c r="C227" s="128">
        <v>1.0</v>
      </c>
      <c r="D227" s="114" t="s">
        <v>5792</v>
      </c>
      <c r="E227" s="114" t="s">
        <v>5984</v>
      </c>
      <c r="F227" s="114" t="s">
        <v>5985</v>
      </c>
      <c r="G227" s="114" t="s">
        <v>5986</v>
      </c>
      <c r="H227" s="130" t="s">
        <v>5792</v>
      </c>
      <c r="I227" s="128">
        <v>219.0</v>
      </c>
      <c r="J227" s="128" t="s">
        <v>708</v>
      </c>
      <c r="K227" s="128"/>
      <c r="L227" s="14"/>
    </row>
    <row r="228" ht="37.5" customHeight="1">
      <c r="A228" s="233"/>
      <c r="B228" s="11" t="s">
        <v>1604</v>
      </c>
      <c r="C228" s="128">
        <v>7.0</v>
      </c>
      <c r="D228" s="114" t="s">
        <v>5792</v>
      </c>
      <c r="E228" s="114" t="s">
        <v>5987</v>
      </c>
      <c r="F228" s="114" t="s">
        <v>5988</v>
      </c>
      <c r="G228" s="114" t="s">
        <v>5351</v>
      </c>
      <c r="H228" s="130" t="s">
        <v>5792</v>
      </c>
      <c r="I228" s="128">
        <v>220.0</v>
      </c>
      <c r="J228" s="128" t="s">
        <v>708</v>
      </c>
      <c r="K228" s="128"/>
      <c r="L228" s="14"/>
    </row>
    <row r="229" ht="37.5" customHeight="1">
      <c r="A229" s="233"/>
      <c r="B229" s="11" t="s">
        <v>1610</v>
      </c>
      <c r="C229" s="128">
        <v>21.0</v>
      </c>
      <c r="D229" s="114" t="s">
        <v>5792</v>
      </c>
      <c r="E229" s="114" t="s">
        <v>5989</v>
      </c>
      <c r="F229" s="114" t="s">
        <v>5990</v>
      </c>
      <c r="G229" s="114" t="s">
        <v>5991</v>
      </c>
      <c r="H229" s="130" t="s">
        <v>5792</v>
      </c>
      <c r="I229" s="128">
        <v>221.0</v>
      </c>
      <c r="J229" s="128" t="s">
        <v>708</v>
      </c>
      <c r="K229" s="128"/>
      <c r="L229" s="14"/>
    </row>
    <row r="230" ht="37.5" customHeight="1">
      <c r="A230" s="233"/>
      <c r="B230" s="11" t="s">
        <v>1612</v>
      </c>
      <c r="C230" s="128">
        <v>11.0</v>
      </c>
      <c r="D230" s="114" t="s">
        <v>5792</v>
      </c>
      <c r="E230" s="114" t="s">
        <v>5400</v>
      </c>
      <c r="F230" s="114" t="s">
        <v>5992</v>
      </c>
      <c r="G230" s="130" t="s">
        <v>5432</v>
      </c>
      <c r="H230" s="130" t="s">
        <v>5993</v>
      </c>
      <c r="I230" s="128">
        <v>222.0</v>
      </c>
      <c r="J230" s="128" t="s">
        <v>708</v>
      </c>
      <c r="K230" s="128"/>
      <c r="L230" s="14"/>
    </row>
  </sheetData>
  <autoFilter ref="$A$2:$J$230">
    <sortState ref="A2:J230">
      <sortCondition ref="I2:I230"/>
      <sortCondition ref="B2:B230"/>
      <sortCondition ref="J2:J230"/>
      <sortCondition ref="D2:D230"/>
    </sortState>
  </autoFilter>
  <mergeCells count="3">
    <mergeCell ref="A1:G1"/>
    <mergeCell ref="H1:J1"/>
    <mergeCell ref="K1:L2"/>
  </mergeCells>
  <conditionalFormatting sqref="K3:L230">
    <cfRule type="cellIs" dxfId="23" priority="1" operator="equal">
      <formula>"F"</formula>
    </cfRule>
  </conditionalFormatting>
  <conditionalFormatting sqref="K3:L230">
    <cfRule type="cellIs" dxfId="5" priority="2" operator="equal">
      <formula>"✔"</formula>
    </cfRule>
  </conditionalFormatting>
  <conditionalFormatting sqref="K3:L230">
    <cfRule type="cellIs" dxfId="6" priority="3" operator="equal">
      <formula>"▲"</formula>
    </cfRule>
  </conditionalFormatting>
  <conditionalFormatting sqref="K3:L230">
    <cfRule type="cellIs" dxfId="24" priority="4" operator="equal">
      <formula>"!"</formula>
    </cfRule>
  </conditionalFormatting>
  <conditionalFormatting sqref="K3:L230">
    <cfRule type="cellIs" dxfId="7" priority="5" operator="equal">
      <formula>"✖"</formula>
    </cfRule>
  </conditionalFormatting>
  <conditionalFormatting sqref="K3:L230">
    <cfRule type="cellIs" dxfId="4" priority="6" operator="equal">
      <formula>"F"</formula>
    </cfRule>
  </conditionalFormatting>
  <conditionalFormatting sqref="J3:L230">
    <cfRule type="cellIs" dxfId="5" priority="7" operator="equal">
      <formula>"S"</formula>
    </cfRule>
  </conditionalFormatting>
  <conditionalFormatting sqref="J3:L230">
    <cfRule type="cellIs" dxfId="6" priority="8" operator="equal">
      <formula>"B"</formula>
    </cfRule>
  </conditionalFormatting>
  <conditionalFormatting sqref="J3:L230">
    <cfRule type="cellIs" dxfId="7" priority="9" operator="equal">
      <formula>"D"</formula>
    </cfRule>
  </conditionalFormatting>
  <conditionalFormatting sqref="J3:L230">
    <cfRule type="cellIs" dxfId="8" priority="10" operator="equal">
      <formula>"C"</formula>
    </cfRule>
  </conditionalFormatting>
  <conditionalFormatting sqref="J3:L230">
    <cfRule type="cellIs" dxfId="9" priority="11" operator="equal">
      <formula>"A"</formula>
    </cfRule>
  </conditionalFormatting>
  <conditionalFormatting sqref="J3:L230">
    <cfRule type="cellIs" dxfId="3" priority="12" operator="equal">
      <formula>"F"</formula>
    </cfRule>
  </conditionalFormatting>
  <conditionalFormatting sqref="I3:I230">
    <cfRule type="colorScale" priority="1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J3:L230">
    <cfRule type="cellIs" dxfId="4" priority="14" operator="equal">
      <formula>"E"</formula>
    </cfRule>
  </conditionalFormatting>
  <conditionalFormatting sqref="J3:L230">
    <cfRule type="cellIs" dxfId="25" priority="15" operator="equal">
      <formula>"G"</formula>
    </cfRule>
  </conditionalFormatting>
  <conditionalFormatting sqref="J3:L230">
    <cfRule type="cellIs" dxfId="28" priority="16" operator="equal">
      <formula>"H"</formula>
    </cfRule>
  </conditionalFormatting>
  <conditionalFormatting sqref="B3:C230">
    <cfRule type="expression" dxfId="26" priority="17">
      <formula>$C3=MAX($C$3:$C230)</formula>
    </cfRule>
  </conditionalFormatting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13.0"/>
    <col customWidth="1" min="5" max="5" width="33.13"/>
    <col customWidth="1" min="6" max="6" width="55.75"/>
    <col customWidth="1" min="7" max="8" width="40.88"/>
    <col customWidth="1" min="9" max="9" width="6.88"/>
    <col customWidth="1" min="10" max="10" width="6.13"/>
  </cols>
  <sheetData>
    <row r="1" ht="16.5" customHeight="1">
      <c r="A1" s="190" t="s">
        <v>1979</v>
      </c>
      <c r="H1" s="192" t="s">
        <v>2061</v>
      </c>
    </row>
    <row r="2" ht="16.5" customHeight="1">
      <c r="A2" s="126" t="s">
        <v>1781</v>
      </c>
      <c r="B2" s="126" t="s">
        <v>54</v>
      </c>
      <c r="C2" s="194" t="s">
        <v>2415</v>
      </c>
      <c r="D2" s="194" t="s">
        <v>4624</v>
      </c>
      <c r="E2" s="194" t="s">
        <v>5249</v>
      </c>
      <c r="F2" s="194" t="s">
        <v>2204</v>
      </c>
      <c r="G2" s="195" t="s">
        <v>5994</v>
      </c>
      <c r="H2" s="195" t="s">
        <v>4625</v>
      </c>
      <c r="I2" s="195" t="s">
        <v>2422</v>
      </c>
      <c r="J2" s="195" t="s">
        <v>63</v>
      </c>
    </row>
    <row r="3" ht="37.5" customHeight="1">
      <c r="A3" s="236"/>
      <c r="B3" s="206" t="s">
        <v>2457</v>
      </c>
      <c r="C3" s="128">
        <v>28.0</v>
      </c>
      <c r="D3" s="130" t="s">
        <v>5995</v>
      </c>
      <c r="E3" s="130" t="s">
        <v>5996</v>
      </c>
      <c r="F3" s="130" t="s">
        <v>5997</v>
      </c>
      <c r="G3" s="130" t="s">
        <v>5998</v>
      </c>
      <c r="H3" s="130" t="s">
        <v>5999</v>
      </c>
      <c r="I3" s="157">
        <v>1.0</v>
      </c>
      <c r="J3" s="237" t="s">
        <v>71</v>
      </c>
    </row>
    <row r="4" ht="37.5" customHeight="1">
      <c r="A4" s="233"/>
      <c r="B4" s="206" t="s">
        <v>718</v>
      </c>
      <c r="C4" s="128">
        <v>26.0</v>
      </c>
      <c r="D4" s="130" t="s">
        <v>6000</v>
      </c>
      <c r="E4" s="130" t="s">
        <v>6001</v>
      </c>
      <c r="F4" s="130" t="s">
        <v>6002</v>
      </c>
      <c r="G4" s="130" t="s">
        <v>6003</v>
      </c>
      <c r="H4" s="130" t="s">
        <v>6004</v>
      </c>
      <c r="I4" s="128">
        <v>2.0</v>
      </c>
      <c r="J4" s="205" t="s">
        <v>71</v>
      </c>
    </row>
    <row r="5" ht="37.5" customHeight="1">
      <c r="A5" s="233"/>
      <c r="B5" s="206" t="s">
        <v>2462</v>
      </c>
      <c r="C5" s="128">
        <v>29.0</v>
      </c>
      <c r="D5" s="130"/>
      <c r="E5" s="130"/>
      <c r="F5" s="130"/>
      <c r="G5" s="130"/>
      <c r="H5" s="130"/>
      <c r="I5" s="128"/>
      <c r="J5" s="205"/>
    </row>
    <row r="6" ht="37.5" customHeight="1">
      <c r="A6" s="233"/>
      <c r="B6" s="206" t="s">
        <v>2486</v>
      </c>
      <c r="C6" s="128">
        <v>29.0</v>
      </c>
      <c r="D6" s="130"/>
      <c r="E6" s="130"/>
      <c r="F6" s="130"/>
      <c r="G6" s="130"/>
      <c r="H6" s="130"/>
      <c r="I6" s="128"/>
      <c r="J6" s="205"/>
    </row>
    <row r="7" ht="37.5" customHeight="1">
      <c r="A7" s="233"/>
      <c r="B7" s="206" t="s">
        <v>2754</v>
      </c>
      <c r="C7" s="128">
        <v>29.0</v>
      </c>
      <c r="D7" s="130"/>
      <c r="E7" s="130"/>
      <c r="F7" s="130"/>
      <c r="G7" s="130"/>
      <c r="H7" s="130"/>
      <c r="I7" s="128"/>
      <c r="J7" s="205"/>
    </row>
    <row r="8" ht="37.5" customHeight="1">
      <c r="A8" s="233"/>
      <c r="B8" s="206" t="s">
        <v>2533</v>
      </c>
      <c r="C8" s="128">
        <v>29.0</v>
      </c>
      <c r="D8" s="130"/>
      <c r="E8" s="130"/>
      <c r="F8" s="130"/>
      <c r="G8" s="130"/>
      <c r="H8" s="130"/>
      <c r="I8" s="128"/>
      <c r="J8" s="205"/>
    </row>
    <row r="9" ht="37.5" customHeight="1">
      <c r="A9" s="233"/>
      <c r="B9" s="206" t="s">
        <v>2524</v>
      </c>
      <c r="C9" s="128">
        <v>29.0</v>
      </c>
      <c r="D9" s="130"/>
      <c r="E9" s="130"/>
      <c r="F9" s="130"/>
      <c r="G9" s="130"/>
      <c r="H9" s="130"/>
      <c r="I9" s="128"/>
      <c r="J9" s="205"/>
    </row>
    <row r="10" ht="37.5" customHeight="1">
      <c r="A10" s="233"/>
      <c r="B10" s="206" t="s">
        <v>2436</v>
      </c>
      <c r="C10" s="128">
        <v>29.0</v>
      </c>
      <c r="D10" s="130"/>
      <c r="E10" s="130"/>
      <c r="F10" s="130"/>
      <c r="G10" s="130"/>
      <c r="H10" s="130"/>
      <c r="I10" s="128"/>
      <c r="J10" s="205"/>
    </row>
    <row r="11" ht="37.5" customHeight="1">
      <c r="A11" s="233"/>
      <c r="B11" s="206" t="s">
        <v>2467</v>
      </c>
      <c r="C11" s="128">
        <v>29.0</v>
      </c>
      <c r="D11" s="130"/>
      <c r="E11" s="130"/>
      <c r="F11" s="130"/>
      <c r="G11" s="130"/>
      <c r="H11" s="130"/>
      <c r="I11" s="128"/>
      <c r="J11" s="205"/>
    </row>
    <row r="12" ht="37.5" customHeight="1">
      <c r="A12" s="233"/>
      <c r="B12" s="206" t="s">
        <v>2501</v>
      </c>
      <c r="C12" s="128">
        <v>29.0</v>
      </c>
      <c r="D12" s="130"/>
      <c r="E12" s="130"/>
      <c r="F12" s="130"/>
      <c r="G12" s="130"/>
      <c r="H12" s="130"/>
      <c r="I12" s="128"/>
      <c r="J12" s="205"/>
    </row>
    <row r="13" ht="37.5" customHeight="1">
      <c r="A13" s="233"/>
      <c r="B13" s="206" t="s">
        <v>2516</v>
      </c>
      <c r="C13" s="128">
        <v>29.0</v>
      </c>
      <c r="D13" s="130"/>
      <c r="E13" s="130"/>
      <c r="F13" s="130"/>
      <c r="G13" s="130"/>
      <c r="H13" s="130"/>
      <c r="I13" s="128"/>
      <c r="J13" s="205"/>
    </row>
    <row r="14" ht="37.5" customHeight="1">
      <c r="A14" s="233"/>
      <c r="B14" s="206" t="s">
        <v>2508</v>
      </c>
      <c r="C14" s="128">
        <v>29.0</v>
      </c>
      <c r="D14" s="130"/>
      <c r="E14" s="130"/>
      <c r="F14" s="130"/>
      <c r="G14" s="130"/>
      <c r="H14" s="130"/>
      <c r="I14" s="128"/>
      <c r="J14" s="205"/>
    </row>
    <row r="15" ht="37.5" customHeight="1">
      <c r="A15" s="233"/>
      <c r="B15" s="206" t="s">
        <v>2444</v>
      </c>
      <c r="C15" s="128">
        <v>29.0</v>
      </c>
      <c r="D15" s="130"/>
      <c r="E15" s="130"/>
      <c r="F15" s="130"/>
      <c r="G15" s="130"/>
      <c r="H15" s="130"/>
      <c r="I15" s="128"/>
      <c r="J15" s="205"/>
    </row>
    <row r="16" ht="37.5" customHeight="1">
      <c r="A16" s="233"/>
      <c r="B16" s="206" t="s">
        <v>714</v>
      </c>
      <c r="C16" s="128">
        <v>26.0</v>
      </c>
      <c r="D16" s="130" t="s">
        <v>6005</v>
      </c>
      <c r="E16" s="130" t="s">
        <v>6006</v>
      </c>
      <c r="F16" s="130" t="s">
        <v>6007</v>
      </c>
      <c r="G16" s="130" t="s">
        <v>6008</v>
      </c>
      <c r="H16" s="130" t="s">
        <v>6009</v>
      </c>
      <c r="I16" s="128">
        <v>3.0</v>
      </c>
      <c r="J16" s="205" t="s">
        <v>71</v>
      </c>
    </row>
    <row r="17" ht="37.5" customHeight="1">
      <c r="A17" s="233"/>
      <c r="B17" s="204" t="s">
        <v>3000</v>
      </c>
      <c r="C17" s="128">
        <v>16.0</v>
      </c>
      <c r="D17" s="130" t="s">
        <v>6010</v>
      </c>
      <c r="E17" s="114" t="s">
        <v>6011</v>
      </c>
      <c r="F17" s="114" t="s">
        <v>6012</v>
      </c>
      <c r="G17" s="114" t="s">
        <v>331</v>
      </c>
      <c r="H17" s="130" t="s">
        <v>6013</v>
      </c>
      <c r="I17" s="128">
        <v>4.0</v>
      </c>
      <c r="J17" s="205" t="s">
        <v>71</v>
      </c>
    </row>
    <row r="18" ht="37.5" customHeight="1">
      <c r="A18" s="233"/>
      <c r="B18" s="204" t="s">
        <v>2632</v>
      </c>
      <c r="C18" s="128">
        <v>16.0</v>
      </c>
      <c r="D18" s="130" t="s">
        <v>6010</v>
      </c>
      <c r="E18" s="114" t="s">
        <v>6014</v>
      </c>
      <c r="F18" s="114" t="s">
        <v>6015</v>
      </c>
      <c r="G18" s="114" t="s">
        <v>6016</v>
      </c>
      <c r="H18" s="130" t="s">
        <v>6017</v>
      </c>
      <c r="I18" s="128">
        <v>5.0</v>
      </c>
      <c r="J18" s="205" t="s">
        <v>71</v>
      </c>
    </row>
    <row r="19" ht="37.5" customHeight="1">
      <c r="A19" s="233"/>
      <c r="B19" s="204" t="s">
        <v>1503</v>
      </c>
      <c r="C19" s="128">
        <v>22.0</v>
      </c>
      <c r="D19" s="130" t="s">
        <v>5308</v>
      </c>
      <c r="E19" s="114" t="s">
        <v>6018</v>
      </c>
      <c r="F19" s="114" t="s">
        <v>6019</v>
      </c>
      <c r="G19" s="114" t="s">
        <v>6020</v>
      </c>
      <c r="H19" s="130" t="s">
        <v>6021</v>
      </c>
      <c r="I19" s="128">
        <v>6.0</v>
      </c>
      <c r="J19" s="205" t="s">
        <v>71</v>
      </c>
    </row>
    <row r="20" ht="37.5" customHeight="1">
      <c r="A20" s="233"/>
      <c r="B20" s="204" t="s">
        <v>307</v>
      </c>
      <c r="C20" s="128">
        <v>20.0</v>
      </c>
      <c r="D20" s="130" t="s">
        <v>5524</v>
      </c>
      <c r="E20" s="114" t="s">
        <v>6022</v>
      </c>
      <c r="F20" s="114" t="s">
        <v>6023</v>
      </c>
      <c r="G20" s="114" t="s">
        <v>6024</v>
      </c>
      <c r="H20" s="130" t="s">
        <v>6025</v>
      </c>
      <c r="I20" s="128">
        <v>7.0</v>
      </c>
      <c r="J20" s="205" t="s">
        <v>71</v>
      </c>
    </row>
    <row r="21" ht="37.5" customHeight="1">
      <c r="A21" s="236"/>
      <c r="B21" s="206" t="s">
        <v>2472</v>
      </c>
      <c r="C21" s="128">
        <v>28.0</v>
      </c>
      <c r="D21" s="130" t="s">
        <v>5995</v>
      </c>
      <c r="E21" s="114" t="s">
        <v>6026</v>
      </c>
      <c r="F21" s="130" t="s">
        <v>6027</v>
      </c>
      <c r="G21" s="130" t="s">
        <v>484</v>
      </c>
      <c r="H21" s="130" t="s">
        <v>6028</v>
      </c>
      <c r="I21" s="157">
        <v>8.0</v>
      </c>
      <c r="J21" s="237" t="s">
        <v>92</v>
      </c>
    </row>
    <row r="22" ht="37.5" customHeight="1">
      <c r="A22" s="233"/>
      <c r="B22" s="204" t="s">
        <v>2905</v>
      </c>
      <c r="C22" s="128">
        <v>23.0</v>
      </c>
      <c r="D22" s="130" t="s">
        <v>5256</v>
      </c>
      <c r="E22" s="114" t="s">
        <v>6029</v>
      </c>
      <c r="F22" s="114" t="s">
        <v>6030</v>
      </c>
      <c r="G22" s="114" t="s">
        <v>6031</v>
      </c>
      <c r="H22" s="130" t="s">
        <v>6032</v>
      </c>
      <c r="I22" s="128">
        <v>9.0</v>
      </c>
      <c r="J22" s="205" t="s">
        <v>92</v>
      </c>
    </row>
    <row r="23" ht="37.5" customHeight="1">
      <c r="A23" s="233"/>
      <c r="B23" s="204" t="s">
        <v>2692</v>
      </c>
      <c r="C23" s="128">
        <v>27.0</v>
      </c>
      <c r="D23" s="130" t="s">
        <v>6033</v>
      </c>
      <c r="E23" s="130" t="s">
        <v>6034</v>
      </c>
      <c r="F23" s="114" t="s">
        <v>6035</v>
      </c>
      <c r="G23" s="130" t="s">
        <v>6036</v>
      </c>
      <c r="H23" s="130" t="s">
        <v>6037</v>
      </c>
      <c r="I23" s="128">
        <v>10.0</v>
      </c>
      <c r="J23" s="205" t="s">
        <v>92</v>
      </c>
    </row>
    <row r="24" ht="37.5" customHeight="1">
      <c r="A24" s="233"/>
      <c r="B24" s="204" t="s">
        <v>422</v>
      </c>
      <c r="C24" s="128">
        <v>23.0</v>
      </c>
      <c r="D24" s="130" t="s">
        <v>6038</v>
      </c>
      <c r="E24" s="114" t="s">
        <v>6039</v>
      </c>
      <c r="F24" s="114" t="s">
        <v>6040</v>
      </c>
      <c r="G24" s="114" t="s">
        <v>6041</v>
      </c>
      <c r="H24" s="130" t="s">
        <v>6042</v>
      </c>
      <c r="I24" s="128">
        <v>11.0</v>
      </c>
      <c r="J24" s="205" t="s">
        <v>92</v>
      </c>
    </row>
    <row r="25" ht="37.5" customHeight="1">
      <c r="A25" s="233"/>
      <c r="B25" s="206" t="s">
        <v>1209</v>
      </c>
      <c r="C25" s="128">
        <v>25.0</v>
      </c>
      <c r="D25" s="130" t="s">
        <v>5298</v>
      </c>
      <c r="E25" s="130" t="s">
        <v>6043</v>
      </c>
      <c r="F25" s="130" t="s">
        <v>6044</v>
      </c>
      <c r="G25" s="130" t="s">
        <v>6045</v>
      </c>
      <c r="H25" s="130" t="s">
        <v>6046</v>
      </c>
      <c r="I25" s="128">
        <v>12.0</v>
      </c>
      <c r="J25" s="205" t="s">
        <v>92</v>
      </c>
    </row>
    <row r="26" ht="37.5" customHeight="1">
      <c r="A26" s="233"/>
      <c r="B26" s="206" t="s">
        <v>2448</v>
      </c>
      <c r="C26" s="128">
        <v>27.0</v>
      </c>
      <c r="D26" s="130" t="s">
        <v>6033</v>
      </c>
      <c r="E26" s="130" t="s">
        <v>6047</v>
      </c>
      <c r="F26" s="114" t="s">
        <v>6048</v>
      </c>
      <c r="G26" s="130" t="s">
        <v>6049</v>
      </c>
      <c r="H26" s="130" t="s">
        <v>6050</v>
      </c>
      <c r="I26" s="128">
        <v>13.0</v>
      </c>
      <c r="J26" s="205" t="s">
        <v>92</v>
      </c>
    </row>
    <row r="27" ht="37.5" customHeight="1">
      <c r="A27" s="233"/>
      <c r="B27" s="206" t="s">
        <v>1067</v>
      </c>
      <c r="C27" s="128">
        <v>25.0</v>
      </c>
      <c r="D27" s="130" t="s">
        <v>6051</v>
      </c>
      <c r="E27" s="130" t="s">
        <v>6052</v>
      </c>
      <c r="F27" s="130" t="s">
        <v>6053</v>
      </c>
      <c r="G27" s="114" t="s">
        <v>6054</v>
      </c>
      <c r="H27" s="130" t="s">
        <v>6055</v>
      </c>
      <c r="I27" s="128">
        <v>14.0</v>
      </c>
      <c r="J27" s="205" t="s">
        <v>92</v>
      </c>
    </row>
    <row r="28" ht="37.5" customHeight="1">
      <c r="A28" s="233"/>
      <c r="B28" s="204" t="s">
        <v>1511</v>
      </c>
      <c r="C28" s="128">
        <v>24.0</v>
      </c>
      <c r="D28" s="130" t="s">
        <v>5256</v>
      </c>
      <c r="E28" s="114" t="s">
        <v>6056</v>
      </c>
      <c r="F28" s="114" t="s">
        <v>6057</v>
      </c>
      <c r="G28" s="114" t="s">
        <v>6058</v>
      </c>
      <c r="H28" s="130" t="s">
        <v>6059</v>
      </c>
      <c r="I28" s="128">
        <v>15.0</v>
      </c>
      <c r="J28" s="205" t="s">
        <v>92</v>
      </c>
    </row>
    <row r="29" ht="37.5" customHeight="1">
      <c r="A29" s="233"/>
      <c r="B29" s="204" t="s">
        <v>2645</v>
      </c>
      <c r="C29" s="128">
        <v>17.0</v>
      </c>
      <c r="D29" s="130" t="s">
        <v>6010</v>
      </c>
      <c r="E29" s="114" t="s">
        <v>6060</v>
      </c>
      <c r="F29" s="114" t="s">
        <v>6061</v>
      </c>
      <c r="G29" s="114" t="s">
        <v>6062</v>
      </c>
      <c r="H29" s="130" t="s">
        <v>6063</v>
      </c>
      <c r="I29" s="128">
        <v>16.0</v>
      </c>
      <c r="J29" s="205" t="s">
        <v>92</v>
      </c>
    </row>
    <row r="30" ht="37.5" customHeight="1">
      <c r="A30" s="233"/>
      <c r="B30" s="204" t="s">
        <v>1539</v>
      </c>
      <c r="C30" s="128">
        <v>24.0</v>
      </c>
      <c r="D30" s="130" t="s">
        <v>5298</v>
      </c>
      <c r="E30" s="114" t="s">
        <v>6064</v>
      </c>
      <c r="F30" s="114" t="s">
        <v>6065</v>
      </c>
      <c r="G30" s="114" t="s">
        <v>6066</v>
      </c>
      <c r="H30" s="130" t="s">
        <v>6067</v>
      </c>
      <c r="I30" s="128">
        <v>17.0</v>
      </c>
      <c r="J30" s="205" t="s">
        <v>92</v>
      </c>
    </row>
    <row r="31" ht="37.5" customHeight="1">
      <c r="A31" s="233"/>
      <c r="B31" s="204" t="s">
        <v>2836</v>
      </c>
      <c r="C31" s="128">
        <v>27.0</v>
      </c>
      <c r="D31" s="130" t="s">
        <v>6068</v>
      </c>
      <c r="E31" s="130" t="s">
        <v>6069</v>
      </c>
      <c r="F31" s="114" t="s">
        <v>6070</v>
      </c>
      <c r="G31" s="130" t="s">
        <v>6071</v>
      </c>
      <c r="H31" s="130" t="s">
        <v>6072</v>
      </c>
      <c r="I31" s="128">
        <v>18.0</v>
      </c>
      <c r="J31" s="205" t="s">
        <v>92</v>
      </c>
    </row>
    <row r="32" ht="37.5" customHeight="1">
      <c r="A32" s="233"/>
      <c r="B32" s="204" t="s">
        <v>1077</v>
      </c>
      <c r="C32" s="128">
        <v>24.0</v>
      </c>
      <c r="D32" s="130" t="s">
        <v>5308</v>
      </c>
      <c r="E32" s="114" t="s">
        <v>6073</v>
      </c>
      <c r="F32" s="114" t="s">
        <v>6074</v>
      </c>
      <c r="G32" s="114" t="s">
        <v>6075</v>
      </c>
      <c r="H32" s="130" t="s">
        <v>6076</v>
      </c>
      <c r="I32" s="128">
        <v>19.0</v>
      </c>
      <c r="J32" s="205" t="s">
        <v>92</v>
      </c>
    </row>
    <row r="33" ht="37.5" customHeight="1">
      <c r="A33" s="233"/>
      <c r="B33" s="204" t="s">
        <v>1059</v>
      </c>
      <c r="C33" s="128">
        <v>19.0</v>
      </c>
      <c r="D33" s="130" t="s">
        <v>5524</v>
      </c>
      <c r="E33" s="114" t="s">
        <v>6077</v>
      </c>
      <c r="F33" s="114" t="s">
        <v>6078</v>
      </c>
      <c r="G33" s="114" t="s">
        <v>6079</v>
      </c>
      <c r="H33" s="130" t="s">
        <v>6080</v>
      </c>
      <c r="I33" s="128">
        <v>20.0</v>
      </c>
      <c r="J33" s="205" t="s">
        <v>120</v>
      </c>
    </row>
    <row r="34" ht="37.5" customHeight="1">
      <c r="A34" s="233"/>
      <c r="B34" s="204" t="s">
        <v>1519</v>
      </c>
      <c r="C34" s="128">
        <v>19.0</v>
      </c>
      <c r="D34" s="130" t="s">
        <v>5298</v>
      </c>
      <c r="E34" s="114" t="s">
        <v>6043</v>
      </c>
      <c r="F34" s="114" t="s">
        <v>6081</v>
      </c>
      <c r="G34" s="114" t="s">
        <v>6082</v>
      </c>
      <c r="H34" s="130" t="s">
        <v>6083</v>
      </c>
      <c r="I34" s="128">
        <v>21.0</v>
      </c>
      <c r="J34" s="205" t="s">
        <v>120</v>
      </c>
    </row>
    <row r="35" ht="37.5" customHeight="1">
      <c r="A35" s="233"/>
      <c r="B35" s="204" t="s">
        <v>2779</v>
      </c>
      <c r="C35" s="128">
        <v>23.0</v>
      </c>
      <c r="D35" s="130" t="s">
        <v>5298</v>
      </c>
      <c r="E35" s="114" t="s">
        <v>6084</v>
      </c>
      <c r="F35" s="114" t="s">
        <v>6085</v>
      </c>
      <c r="G35" s="130" t="s">
        <v>6086</v>
      </c>
      <c r="H35" s="130" t="s">
        <v>6087</v>
      </c>
      <c r="I35" s="128">
        <v>22.0</v>
      </c>
      <c r="J35" s="205" t="s">
        <v>120</v>
      </c>
    </row>
    <row r="36" ht="37.5" customHeight="1">
      <c r="A36" s="233"/>
      <c r="B36" s="204" t="s">
        <v>279</v>
      </c>
      <c r="C36" s="128">
        <v>18.0</v>
      </c>
      <c r="D36" s="130" t="s">
        <v>5256</v>
      </c>
      <c r="E36" s="114" t="s">
        <v>6088</v>
      </c>
      <c r="F36" s="114" t="s">
        <v>6089</v>
      </c>
      <c r="G36" s="130" t="s">
        <v>6090</v>
      </c>
      <c r="H36" s="130" t="s">
        <v>6091</v>
      </c>
      <c r="I36" s="128">
        <v>23.0</v>
      </c>
      <c r="J36" s="205" t="s">
        <v>120</v>
      </c>
    </row>
    <row r="37" ht="37.5" customHeight="1">
      <c r="A37" s="236"/>
      <c r="B37" s="206" t="s">
        <v>2538</v>
      </c>
      <c r="C37" s="128">
        <v>28.0</v>
      </c>
      <c r="D37" s="130" t="s">
        <v>6033</v>
      </c>
      <c r="E37" s="130" t="s">
        <v>6092</v>
      </c>
      <c r="F37" s="130" t="s">
        <v>6093</v>
      </c>
      <c r="G37" s="130" t="s">
        <v>6094</v>
      </c>
      <c r="H37" s="130" t="s">
        <v>6095</v>
      </c>
      <c r="I37" s="128">
        <v>24.0</v>
      </c>
      <c r="J37" s="237" t="s">
        <v>120</v>
      </c>
    </row>
    <row r="38" ht="37.5" customHeight="1">
      <c r="A38" s="233"/>
      <c r="B38" s="204" t="s">
        <v>895</v>
      </c>
      <c r="C38" s="128">
        <v>16.0</v>
      </c>
      <c r="D38" s="130" t="s">
        <v>5792</v>
      </c>
      <c r="E38" s="114" t="s">
        <v>6096</v>
      </c>
      <c r="F38" s="114" t="s">
        <v>6097</v>
      </c>
      <c r="G38" s="130" t="s">
        <v>6098</v>
      </c>
      <c r="H38" s="130" t="s">
        <v>6099</v>
      </c>
      <c r="I38" s="128">
        <v>25.0</v>
      </c>
      <c r="J38" s="205" t="s">
        <v>120</v>
      </c>
    </row>
    <row r="39" ht="37.5" customHeight="1">
      <c r="A39" s="233"/>
      <c r="B39" s="206" t="s">
        <v>572</v>
      </c>
      <c r="C39" s="128">
        <v>27.0</v>
      </c>
      <c r="D39" s="130" t="s">
        <v>6100</v>
      </c>
      <c r="E39" s="130" t="s">
        <v>6101</v>
      </c>
      <c r="F39" s="130" t="s">
        <v>6102</v>
      </c>
      <c r="G39" s="130" t="s">
        <v>550</v>
      </c>
      <c r="H39" s="130" t="s">
        <v>6103</v>
      </c>
      <c r="I39" s="128">
        <v>26.0</v>
      </c>
      <c r="J39" s="205" t="s">
        <v>120</v>
      </c>
    </row>
    <row r="40" ht="37.5" customHeight="1">
      <c r="A40" s="233"/>
      <c r="B40" s="204" t="s">
        <v>1522</v>
      </c>
      <c r="C40" s="128">
        <v>21.0</v>
      </c>
      <c r="D40" s="130" t="s">
        <v>5256</v>
      </c>
      <c r="E40" s="114" t="s">
        <v>6104</v>
      </c>
      <c r="F40" s="114" t="s">
        <v>6105</v>
      </c>
      <c r="G40" s="130" t="s">
        <v>6106</v>
      </c>
      <c r="H40" s="130" t="s">
        <v>6107</v>
      </c>
      <c r="I40" s="128">
        <v>27.0</v>
      </c>
      <c r="J40" s="205" t="s">
        <v>120</v>
      </c>
    </row>
    <row r="41" ht="37.5" customHeight="1">
      <c r="A41" s="233"/>
      <c r="B41" s="204" t="s">
        <v>2600</v>
      </c>
      <c r="C41" s="128">
        <v>16.0</v>
      </c>
      <c r="D41" s="130" t="s">
        <v>5256</v>
      </c>
      <c r="E41" s="114" t="s">
        <v>6108</v>
      </c>
      <c r="F41" s="114" t="s">
        <v>6109</v>
      </c>
      <c r="G41" s="130" t="s">
        <v>6110</v>
      </c>
      <c r="H41" s="130" t="s">
        <v>6111</v>
      </c>
      <c r="I41" s="128">
        <v>28.0</v>
      </c>
      <c r="J41" s="205" t="s">
        <v>120</v>
      </c>
    </row>
    <row r="42" ht="37.5" customHeight="1">
      <c r="A42" s="233"/>
      <c r="B42" s="204" t="s">
        <v>2628</v>
      </c>
      <c r="C42" s="128">
        <v>20.0</v>
      </c>
      <c r="D42" s="130" t="s">
        <v>6038</v>
      </c>
      <c r="E42" s="114" t="s">
        <v>6112</v>
      </c>
      <c r="F42" s="114" t="s">
        <v>6113</v>
      </c>
      <c r="G42" s="130" t="s">
        <v>6114</v>
      </c>
      <c r="H42" s="130" t="s">
        <v>6115</v>
      </c>
      <c r="I42" s="128">
        <v>29.0</v>
      </c>
      <c r="J42" s="205" t="s">
        <v>120</v>
      </c>
    </row>
    <row r="43" ht="37.5" customHeight="1">
      <c r="A43" s="233"/>
      <c r="B43" s="204" t="s">
        <v>425</v>
      </c>
      <c r="C43" s="128">
        <v>16.0</v>
      </c>
      <c r="D43" s="130" t="s">
        <v>6038</v>
      </c>
      <c r="E43" s="114" t="s">
        <v>6116</v>
      </c>
      <c r="F43" s="114" t="s">
        <v>6117</v>
      </c>
      <c r="G43" s="130" t="s">
        <v>6118</v>
      </c>
      <c r="H43" s="130" t="s">
        <v>6119</v>
      </c>
      <c r="I43" s="128">
        <v>30.0</v>
      </c>
      <c r="J43" s="205" t="s">
        <v>120</v>
      </c>
    </row>
    <row r="44" ht="37.5" customHeight="1">
      <c r="A44" s="233"/>
      <c r="B44" s="204" t="s">
        <v>1534</v>
      </c>
      <c r="C44" s="128">
        <v>19.0</v>
      </c>
      <c r="D44" s="130" t="s">
        <v>6038</v>
      </c>
      <c r="E44" s="114" t="s">
        <v>6120</v>
      </c>
      <c r="F44" s="114" t="s">
        <v>6121</v>
      </c>
      <c r="G44" s="130" t="s">
        <v>6122</v>
      </c>
      <c r="H44" s="130" t="s">
        <v>6123</v>
      </c>
      <c r="I44" s="128">
        <v>31.0</v>
      </c>
      <c r="J44" s="205" t="s">
        <v>120</v>
      </c>
    </row>
    <row r="45" ht="37.5" customHeight="1">
      <c r="A45" s="233"/>
      <c r="B45" s="206" t="s">
        <v>716</v>
      </c>
      <c r="C45" s="128">
        <v>26.0</v>
      </c>
      <c r="D45" s="130" t="s">
        <v>6038</v>
      </c>
      <c r="E45" s="130" t="s">
        <v>6124</v>
      </c>
      <c r="F45" s="130" t="s">
        <v>6125</v>
      </c>
      <c r="G45" s="130" t="s">
        <v>6126</v>
      </c>
      <c r="H45" s="130" t="s">
        <v>6127</v>
      </c>
      <c r="I45" s="128">
        <v>32.0</v>
      </c>
      <c r="J45" s="205" t="s">
        <v>120</v>
      </c>
    </row>
    <row r="46" ht="37.5" customHeight="1">
      <c r="A46" s="233"/>
      <c r="B46" s="206" t="s">
        <v>1212</v>
      </c>
      <c r="C46" s="128">
        <v>25.0</v>
      </c>
      <c r="D46" s="130" t="s">
        <v>5524</v>
      </c>
      <c r="E46" s="130" t="s">
        <v>6128</v>
      </c>
      <c r="F46" s="130" t="s">
        <v>6129</v>
      </c>
      <c r="G46" s="130" t="s">
        <v>6130</v>
      </c>
      <c r="H46" s="130" t="s">
        <v>6131</v>
      </c>
      <c r="I46" s="128">
        <v>33.0</v>
      </c>
      <c r="J46" s="205" t="s">
        <v>120</v>
      </c>
    </row>
    <row r="47" ht="37.5" customHeight="1">
      <c r="A47" s="236"/>
      <c r="B47" s="206" t="s">
        <v>6132</v>
      </c>
      <c r="C47" s="128">
        <v>28.0</v>
      </c>
      <c r="D47" s="130" t="s">
        <v>6038</v>
      </c>
      <c r="E47" s="130" t="s">
        <v>6133</v>
      </c>
      <c r="F47" s="130" t="s">
        <v>6134</v>
      </c>
      <c r="G47" s="130" t="s">
        <v>6135</v>
      </c>
      <c r="H47" s="130" t="s">
        <v>6136</v>
      </c>
      <c r="I47" s="128">
        <v>34.0</v>
      </c>
      <c r="J47" s="237" t="s">
        <v>120</v>
      </c>
    </row>
    <row r="48" ht="37.5" customHeight="1">
      <c r="A48" s="233"/>
      <c r="B48" s="204" t="s">
        <v>1061</v>
      </c>
      <c r="C48" s="128">
        <v>17.0</v>
      </c>
      <c r="D48" s="130" t="s">
        <v>6038</v>
      </c>
      <c r="E48" s="114" t="s">
        <v>6137</v>
      </c>
      <c r="F48" s="114" t="s">
        <v>6138</v>
      </c>
      <c r="G48" s="114" t="s">
        <v>6139</v>
      </c>
      <c r="H48" s="130" t="s">
        <v>6140</v>
      </c>
      <c r="I48" s="128">
        <v>35.0</v>
      </c>
      <c r="J48" s="205" t="s">
        <v>120</v>
      </c>
    </row>
    <row r="49" ht="37.5" customHeight="1">
      <c r="A49" s="233"/>
      <c r="B49" s="204" t="s">
        <v>2543</v>
      </c>
      <c r="C49" s="128">
        <v>27.0</v>
      </c>
      <c r="D49" s="130" t="s">
        <v>6010</v>
      </c>
      <c r="E49" s="130" t="s">
        <v>6141</v>
      </c>
      <c r="F49" s="114" t="s">
        <v>6142</v>
      </c>
      <c r="G49" s="130" t="s">
        <v>6143</v>
      </c>
      <c r="H49" s="130" t="s">
        <v>6144</v>
      </c>
      <c r="I49" s="128">
        <v>36.0</v>
      </c>
      <c r="J49" s="205" t="s">
        <v>120</v>
      </c>
    </row>
    <row r="50" ht="37.5" customHeight="1">
      <c r="A50" s="233"/>
      <c r="B50" s="204" t="s">
        <v>1529</v>
      </c>
      <c r="C50" s="128">
        <v>20.0</v>
      </c>
      <c r="D50" s="130" t="s">
        <v>6145</v>
      </c>
      <c r="E50" s="114" t="s">
        <v>6146</v>
      </c>
      <c r="F50" s="114" t="s">
        <v>6147</v>
      </c>
      <c r="G50" s="114" t="s">
        <v>6148</v>
      </c>
      <c r="H50" s="130" t="s">
        <v>6149</v>
      </c>
      <c r="I50" s="128">
        <v>37.0</v>
      </c>
      <c r="J50" s="205" t="s">
        <v>136</v>
      </c>
    </row>
    <row r="51" ht="37.5" customHeight="1">
      <c r="A51" s="233"/>
      <c r="B51" s="204" t="s">
        <v>1527</v>
      </c>
      <c r="C51" s="128">
        <v>16.0</v>
      </c>
      <c r="D51" s="130" t="s">
        <v>5524</v>
      </c>
      <c r="E51" s="114" t="s">
        <v>6150</v>
      </c>
      <c r="F51" s="114" t="s">
        <v>6151</v>
      </c>
      <c r="G51" s="130" t="s">
        <v>6152</v>
      </c>
      <c r="H51" s="130" t="s">
        <v>6153</v>
      </c>
      <c r="I51" s="128">
        <v>38.0</v>
      </c>
      <c r="J51" s="205" t="s">
        <v>136</v>
      </c>
    </row>
    <row r="52" ht="37.5" customHeight="1">
      <c r="A52" s="233"/>
      <c r="B52" s="206" t="s">
        <v>683</v>
      </c>
      <c r="C52" s="128">
        <v>26.0</v>
      </c>
      <c r="D52" s="130" t="s">
        <v>5256</v>
      </c>
      <c r="E52" s="130" t="s">
        <v>6154</v>
      </c>
      <c r="F52" s="130" t="s">
        <v>6155</v>
      </c>
      <c r="G52" s="130" t="s">
        <v>6156</v>
      </c>
      <c r="H52" s="130" t="s">
        <v>6157</v>
      </c>
      <c r="I52" s="128">
        <v>39.0</v>
      </c>
      <c r="J52" s="205" t="s">
        <v>136</v>
      </c>
    </row>
    <row r="53" ht="37.5" customHeight="1">
      <c r="A53" s="233"/>
      <c r="B53" s="204" t="s">
        <v>1083</v>
      </c>
      <c r="C53" s="128">
        <v>17.0</v>
      </c>
      <c r="D53" s="130" t="s">
        <v>6038</v>
      </c>
      <c r="E53" s="114" t="s">
        <v>6158</v>
      </c>
      <c r="F53" s="114" t="s">
        <v>6159</v>
      </c>
      <c r="G53" s="114" t="s">
        <v>6160</v>
      </c>
      <c r="H53" s="130" t="s">
        <v>6161</v>
      </c>
      <c r="I53" s="128">
        <v>40.0</v>
      </c>
      <c r="J53" s="205" t="s">
        <v>136</v>
      </c>
    </row>
    <row r="54" ht="37.5" customHeight="1">
      <c r="A54" s="233"/>
      <c r="B54" s="204" t="s">
        <v>1087</v>
      </c>
      <c r="C54" s="128">
        <v>22.0</v>
      </c>
      <c r="D54" s="130" t="s">
        <v>5308</v>
      </c>
      <c r="E54" s="114" t="s">
        <v>6162</v>
      </c>
      <c r="F54" s="114" t="s">
        <v>6163</v>
      </c>
      <c r="G54" s="130" t="s">
        <v>6164</v>
      </c>
      <c r="H54" s="130" t="s">
        <v>6165</v>
      </c>
      <c r="I54" s="128">
        <v>41.0</v>
      </c>
      <c r="J54" s="205" t="s">
        <v>136</v>
      </c>
    </row>
    <row r="55" ht="37.5" customHeight="1">
      <c r="A55" s="233"/>
      <c r="B55" s="204" t="s">
        <v>3570</v>
      </c>
      <c r="C55" s="128">
        <v>16.0</v>
      </c>
      <c r="D55" s="130" t="s">
        <v>6166</v>
      </c>
      <c r="E55" s="114" t="s">
        <v>6167</v>
      </c>
      <c r="F55" s="114" t="s">
        <v>6168</v>
      </c>
      <c r="G55" s="130" t="s">
        <v>6169</v>
      </c>
      <c r="H55" s="130" t="s">
        <v>6170</v>
      </c>
      <c r="I55" s="128">
        <v>42.0</v>
      </c>
      <c r="J55" s="205" t="s">
        <v>136</v>
      </c>
    </row>
    <row r="56" ht="37.5" customHeight="1">
      <c r="A56" s="233"/>
      <c r="B56" s="204" t="s">
        <v>1063</v>
      </c>
      <c r="C56" s="128">
        <v>24.0</v>
      </c>
      <c r="D56" s="130" t="s">
        <v>6038</v>
      </c>
      <c r="E56" s="114" t="s">
        <v>6171</v>
      </c>
      <c r="F56" s="114" t="s">
        <v>6172</v>
      </c>
      <c r="G56" s="130" t="s">
        <v>6173</v>
      </c>
      <c r="H56" s="130" t="s">
        <v>6174</v>
      </c>
      <c r="I56" s="128">
        <v>43.0</v>
      </c>
      <c r="J56" s="205" t="s">
        <v>136</v>
      </c>
    </row>
    <row r="57" ht="37.5" customHeight="1">
      <c r="A57" s="233"/>
      <c r="B57" s="204" t="s">
        <v>1532</v>
      </c>
      <c r="C57" s="128">
        <v>20.0</v>
      </c>
      <c r="D57" s="130" t="s">
        <v>6038</v>
      </c>
      <c r="E57" s="114" t="s">
        <v>6175</v>
      </c>
      <c r="F57" s="114" t="s">
        <v>6176</v>
      </c>
      <c r="G57" s="130" t="s">
        <v>6177</v>
      </c>
      <c r="H57" s="130" t="s">
        <v>6178</v>
      </c>
      <c r="I57" s="128">
        <v>44.0</v>
      </c>
      <c r="J57" s="205" t="s">
        <v>136</v>
      </c>
    </row>
    <row r="58" ht="37.5" customHeight="1">
      <c r="A58" s="233"/>
      <c r="B58" s="204" t="s">
        <v>1057</v>
      </c>
      <c r="C58" s="128">
        <v>16.0</v>
      </c>
      <c r="D58" s="130" t="s">
        <v>6038</v>
      </c>
      <c r="E58" s="114" t="s">
        <v>6179</v>
      </c>
      <c r="F58" s="114" t="s">
        <v>6180</v>
      </c>
      <c r="G58" s="130" t="s">
        <v>6181</v>
      </c>
      <c r="H58" s="130" t="s">
        <v>6182</v>
      </c>
      <c r="I58" s="128">
        <v>45.0</v>
      </c>
      <c r="J58" s="205" t="s">
        <v>136</v>
      </c>
    </row>
    <row r="59" ht="37.5" customHeight="1">
      <c r="A59" s="233"/>
      <c r="B59" s="204" t="s">
        <v>1070</v>
      </c>
      <c r="C59" s="128">
        <v>17.0</v>
      </c>
      <c r="D59" s="130" t="s">
        <v>5256</v>
      </c>
      <c r="E59" s="114" t="s">
        <v>6183</v>
      </c>
      <c r="F59" s="114" t="s">
        <v>6184</v>
      </c>
      <c r="G59" s="130" t="s">
        <v>6185</v>
      </c>
      <c r="H59" s="130" t="s">
        <v>6186</v>
      </c>
      <c r="I59" s="128">
        <v>46.0</v>
      </c>
      <c r="J59" s="205" t="s">
        <v>136</v>
      </c>
    </row>
    <row r="60" ht="37.5" customHeight="1">
      <c r="A60" s="233"/>
      <c r="B60" s="204" t="s">
        <v>1075</v>
      </c>
      <c r="C60" s="128">
        <v>16.0</v>
      </c>
      <c r="D60" s="130" t="s">
        <v>6010</v>
      </c>
      <c r="E60" s="114" t="s">
        <v>6187</v>
      </c>
      <c r="F60" s="114" t="s">
        <v>6188</v>
      </c>
      <c r="G60" s="114" t="s">
        <v>6189</v>
      </c>
      <c r="H60" s="130" t="s">
        <v>6190</v>
      </c>
      <c r="I60" s="128">
        <v>47.0</v>
      </c>
      <c r="J60" s="205" t="s">
        <v>136</v>
      </c>
    </row>
    <row r="61" ht="37.5" customHeight="1">
      <c r="A61" s="233"/>
      <c r="B61" s="204" t="s">
        <v>2511</v>
      </c>
      <c r="C61" s="128">
        <v>27.0</v>
      </c>
      <c r="D61" s="130" t="s">
        <v>5524</v>
      </c>
      <c r="E61" s="114" t="s">
        <v>6191</v>
      </c>
      <c r="F61" s="114" t="s">
        <v>6192</v>
      </c>
      <c r="G61" s="114" t="s">
        <v>627</v>
      </c>
      <c r="H61" s="130" t="s">
        <v>6193</v>
      </c>
      <c r="I61" s="128">
        <v>48.0</v>
      </c>
      <c r="J61" s="205" t="s">
        <v>167</v>
      </c>
    </row>
    <row r="62" ht="37.5" customHeight="1">
      <c r="A62" s="233"/>
      <c r="B62" s="204" t="s">
        <v>1073</v>
      </c>
      <c r="C62" s="128">
        <v>16.0</v>
      </c>
      <c r="D62" s="130" t="s">
        <v>6038</v>
      </c>
      <c r="E62" s="114" t="s">
        <v>6194</v>
      </c>
      <c r="F62" s="114" t="s">
        <v>6195</v>
      </c>
      <c r="G62" s="114" t="s">
        <v>6196</v>
      </c>
      <c r="H62" s="130" t="s">
        <v>6197</v>
      </c>
      <c r="I62" s="128">
        <v>49.0</v>
      </c>
      <c r="J62" s="205" t="s">
        <v>167</v>
      </c>
    </row>
    <row r="63" ht="37.5" customHeight="1">
      <c r="A63" s="233"/>
      <c r="B63" s="204" t="s">
        <v>1536</v>
      </c>
      <c r="C63" s="128">
        <v>21.0</v>
      </c>
      <c r="D63" s="130" t="s">
        <v>6038</v>
      </c>
      <c r="E63" s="114" t="s">
        <v>6198</v>
      </c>
      <c r="F63" s="114" t="s">
        <v>6199</v>
      </c>
      <c r="G63" s="114" t="s">
        <v>6200</v>
      </c>
      <c r="H63" s="130" t="s">
        <v>6201</v>
      </c>
      <c r="I63" s="128">
        <v>50.0</v>
      </c>
      <c r="J63" s="205" t="s">
        <v>167</v>
      </c>
    </row>
    <row r="64" ht="37.5" customHeight="1">
      <c r="A64" s="233"/>
      <c r="B64" s="206" t="s">
        <v>720</v>
      </c>
      <c r="C64" s="128">
        <v>26.0</v>
      </c>
      <c r="D64" s="130" t="s">
        <v>6038</v>
      </c>
      <c r="E64" s="130" t="s">
        <v>6202</v>
      </c>
      <c r="F64" s="130" t="s">
        <v>6203</v>
      </c>
      <c r="G64" s="130" t="s">
        <v>808</v>
      </c>
      <c r="H64" s="130" t="s">
        <v>6204</v>
      </c>
      <c r="I64" s="128">
        <v>51.0</v>
      </c>
      <c r="J64" s="205" t="s">
        <v>167</v>
      </c>
    </row>
    <row r="65" ht="37.5" customHeight="1">
      <c r="A65" s="233"/>
      <c r="B65" s="204" t="s">
        <v>1506</v>
      </c>
      <c r="C65" s="128">
        <v>23.0</v>
      </c>
      <c r="D65" s="130" t="s">
        <v>6038</v>
      </c>
      <c r="E65" s="114" t="s">
        <v>6205</v>
      </c>
      <c r="F65" s="114" t="s">
        <v>6206</v>
      </c>
      <c r="G65" s="114" t="s">
        <v>4116</v>
      </c>
      <c r="H65" s="130" t="s">
        <v>6207</v>
      </c>
      <c r="I65" s="128">
        <v>52.0</v>
      </c>
      <c r="J65" s="205" t="s">
        <v>167</v>
      </c>
    </row>
    <row r="66" ht="37.5" customHeight="1">
      <c r="A66" s="233"/>
      <c r="B66" s="204" t="s">
        <v>1524</v>
      </c>
      <c r="C66" s="128">
        <v>19.0</v>
      </c>
      <c r="D66" s="130" t="s">
        <v>5256</v>
      </c>
      <c r="E66" s="114" t="s">
        <v>6208</v>
      </c>
      <c r="F66" s="114" t="s">
        <v>6209</v>
      </c>
      <c r="G66" s="114" t="s">
        <v>6210</v>
      </c>
      <c r="H66" s="130" t="s">
        <v>6211</v>
      </c>
      <c r="I66" s="128">
        <v>53.0</v>
      </c>
      <c r="J66" s="205" t="s">
        <v>167</v>
      </c>
    </row>
    <row r="67" ht="37.5" customHeight="1">
      <c r="A67" s="233"/>
      <c r="B67" s="204" t="s">
        <v>1530</v>
      </c>
      <c r="C67" s="128">
        <v>19.0</v>
      </c>
      <c r="D67" s="130" t="s">
        <v>6212</v>
      </c>
      <c r="E67" s="114" t="s">
        <v>6213</v>
      </c>
      <c r="F67" s="114" t="s">
        <v>6214</v>
      </c>
      <c r="G67" s="114" t="s">
        <v>6215</v>
      </c>
      <c r="H67" s="130" t="s">
        <v>6216</v>
      </c>
      <c r="I67" s="128">
        <v>54.0</v>
      </c>
      <c r="J67" s="205" t="s">
        <v>167</v>
      </c>
    </row>
    <row r="68" ht="37.5" customHeight="1">
      <c r="A68" s="233"/>
      <c r="B68" s="204" t="s">
        <v>3198</v>
      </c>
      <c r="C68" s="128">
        <v>16.0</v>
      </c>
      <c r="D68" s="130" t="s">
        <v>5298</v>
      </c>
      <c r="E68" s="114" t="s">
        <v>6084</v>
      </c>
      <c r="F68" s="114" t="s">
        <v>6217</v>
      </c>
      <c r="G68" s="114" t="s">
        <v>6218</v>
      </c>
      <c r="H68" s="130" t="s">
        <v>6219</v>
      </c>
      <c r="I68" s="128">
        <v>55.0</v>
      </c>
      <c r="J68" s="205" t="s">
        <v>167</v>
      </c>
    </row>
    <row r="69" ht="37.5" customHeight="1">
      <c r="A69" s="233"/>
      <c r="B69" s="206" t="s">
        <v>1214</v>
      </c>
      <c r="C69" s="128">
        <v>25.0</v>
      </c>
      <c r="D69" s="130" t="s">
        <v>6038</v>
      </c>
      <c r="E69" s="130" t="s">
        <v>6220</v>
      </c>
      <c r="F69" s="130" t="s">
        <v>6221</v>
      </c>
      <c r="G69" s="130" t="s">
        <v>6222</v>
      </c>
      <c r="H69" s="130" t="s">
        <v>6223</v>
      </c>
      <c r="I69" s="128">
        <v>56.0</v>
      </c>
      <c r="J69" s="205" t="s">
        <v>167</v>
      </c>
    </row>
    <row r="70" ht="37.5" customHeight="1">
      <c r="A70" s="233"/>
      <c r="B70" s="204" t="s">
        <v>1085</v>
      </c>
      <c r="C70" s="128">
        <v>16.0</v>
      </c>
      <c r="D70" s="130" t="s">
        <v>6010</v>
      </c>
      <c r="E70" s="114" t="s">
        <v>6084</v>
      </c>
      <c r="F70" s="114" t="s">
        <v>6224</v>
      </c>
      <c r="G70" s="130" t="s">
        <v>6225</v>
      </c>
      <c r="H70" s="130" t="s">
        <v>6226</v>
      </c>
      <c r="I70" s="128">
        <v>57.0</v>
      </c>
      <c r="J70" s="205" t="s">
        <v>167</v>
      </c>
    </row>
    <row r="71" ht="37.5" customHeight="1">
      <c r="A71" s="233"/>
      <c r="B71" s="204" t="s">
        <v>1517</v>
      </c>
      <c r="C71" s="128">
        <v>16.0</v>
      </c>
      <c r="D71" s="130" t="s">
        <v>6038</v>
      </c>
      <c r="E71" s="114" t="s">
        <v>6227</v>
      </c>
      <c r="F71" s="114" t="s">
        <v>6228</v>
      </c>
      <c r="G71" s="130" t="s">
        <v>6229</v>
      </c>
      <c r="H71" s="130" t="s">
        <v>6230</v>
      </c>
      <c r="I71" s="128">
        <v>58.0</v>
      </c>
      <c r="J71" s="205" t="s">
        <v>167</v>
      </c>
    </row>
    <row r="72" ht="37.5" customHeight="1">
      <c r="A72" s="233"/>
      <c r="B72" s="204" t="s">
        <v>1515</v>
      </c>
      <c r="C72" s="128">
        <v>23.0</v>
      </c>
      <c r="D72" s="130" t="s">
        <v>5256</v>
      </c>
      <c r="E72" s="114" t="s">
        <v>6231</v>
      </c>
      <c r="F72" s="114" t="s">
        <v>6232</v>
      </c>
      <c r="G72" s="130" t="s">
        <v>6233</v>
      </c>
      <c r="H72" s="130" t="s">
        <v>6234</v>
      </c>
      <c r="I72" s="128">
        <v>59.0</v>
      </c>
      <c r="J72" s="205" t="s">
        <v>167</v>
      </c>
    </row>
    <row r="73" ht="37.5" customHeight="1">
      <c r="A73" s="233"/>
      <c r="B73" s="204" t="s">
        <v>1514</v>
      </c>
      <c r="C73" s="128">
        <v>18.0</v>
      </c>
      <c r="D73" s="130" t="s">
        <v>6038</v>
      </c>
      <c r="E73" s="114" t="s">
        <v>6235</v>
      </c>
      <c r="F73" s="114" t="s">
        <v>6236</v>
      </c>
      <c r="G73" s="114" t="s">
        <v>6237</v>
      </c>
      <c r="H73" s="130" t="s">
        <v>6238</v>
      </c>
      <c r="I73" s="128">
        <v>60.0</v>
      </c>
      <c r="J73" s="205" t="s">
        <v>423</v>
      </c>
    </row>
    <row r="74" ht="37.5" customHeight="1">
      <c r="A74" s="233"/>
      <c r="B74" s="204" t="s">
        <v>1081</v>
      </c>
      <c r="C74" s="128">
        <v>16.0</v>
      </c>
      <c r="D74" s="130" t="s">
        <v>6038</v>
      </c>
      <c r="E74" s="114" t="s">
        <v>5301</v>
      </c>
      <c r="F74" s="114" t="s">
        <v>6239</v>
      </c>
      <c r="G74" s="114" t="s">
        <v>6240</v>
      </c>
      <c r="H74" s="130" t="s">
        <v>6241</v>
      </c>
      <c r="I74" s="128">
        <v>61.0</v>
      </c>
      <c r="J74" s="205" t="s">
        <v>423</v>
      </c>
    </row>
    <row r="75" ht="37.5" customHeight="1">
      <c r="A75" s="233"/>
      <c r="B75" s="204" t="s">
        <v>1079</v>
      </c>
      <c r="C75" s="128">
        <v>18.0</v>
      </c>
      <c r="D75" s="130" t="s">
        <v>6038</v>
      </c>
      <c r="E75" s="114" t="s">
        <v>6242</v>
      </c>
      <c r="F75" s="114" t="s">
        <v>6243</v>
      </c>
      <c r="G75" s="114" t="s">
        <v>240</v>
      </c>
      <c r="H75" s="130" t="s">
        <v>6244</v>
      </c>
      <c r="I75" s="128">
        <v>62.0</v>
      </c>
      <c r="J75" s="205" t="s">
        <v>423</v>
      </c>
    </row>
    <row r="76" ht="37.5" customHeight="1">
      <c r="A76" s="233"/>
      <c r="B76" s="204" t="s">
        <v>1084</v>
      </c>
      <c r="C76" s="128">
        <v>21.0</v>
      </c>
      <c r="D76" s="130" t="s">
        <v>6038</v>
      </c>
      <c r="E76" s="114" t="s">
        <v>6245</v>
      </c>
      <c r="F76" s="114" t="s">
        <v>6246</v>
      </c>
      <c r="G76" s="114" t="s">
        <v>82</v>
      </c>
      <c r="H76" s="130" t="s">
        <v>6247</v>
      </c>
      <c r="I76" s="128">
        <v>63.0</v>
      </c>
      <c r="J76" s="205" t="s">
        <v>423</v>
      </c>
    </row>
    <row r="77" ht="37.5" customHeight="1">
      <c r="A77" s="233"/>
      <c r="B77" s="204" t="s">
        <v>2489</v>
      </c>
      <c r="C77" s="128">
        <v>27.0</v>
      </c>
      <c r="D77" s="130" t="s">
        <v>6038</v>
      </c>
      <c r="E77" s="130" t="s">
        <v>6248</v>
      </c>
      <c r="F77" s="130" t="s">
        <v>6249</v>
      </c>
      <c r="G77" s="130" t="s">
        <v>6250</v>
      </c>
      <c r="H77" s="130" t="s">
        <v>6251</v>
      </c>
      <c r="I77" s="128">
        <v>64.0</v>
      </c>
      <c r="J77" s="205" t="s">
        <v>423</v>
      </c>
    </row>
    <row r="78" ht="37.5" customHeight="1">
      <c r="A78" s="233"/>
      <c r="B78" s="204" t="s">
        <v>3107</v>
      </c>
      <c r="C78" s="128">
        <v>27.0</v>
      </c>
      <c r="D78" s="130" t="s">
        <v>6038</v>
      </c>
      <c r="E78" s="130" t="s">
        <v>6252</v>
      </c>
      <c r="F78" s="130" t="s">
        <v>6253</v>
      </c>
      <c r="G78" s="130" t="s">
        <v>6254</v>
      </c>
      <c r="H78" s="130" t="s">
        <v>6255</v>
      </c>
      <c r="I78" s="128">
        <v>65.0</v>
      </c>
      <c r="J78" s="205" t="s">
        <v>447</v>
      </c>
    </row>
    <row r="79" ht="37.5" customHeight="1">
      <c r="A79" s="233"/>
      <c r="B79" s="204" t="s">
        <v>1065</v>
      </c>
      <c r="C79" s="128">
        <v>23.0</v>
      </c>
      <c r="D79" s="130" t="s">
        <v>6145</v>
      </c>
      <c r="E79" s="114" t="s">
        <v>6256</v>
      </c>
      <c r="F79" s="114" t="s">
        <v>6257</v>
      </c>
      <c r="G79" s="114" t="s">
        <v>6258</v>
      </c>
      <c r="H79" s="130" t="s">
        <v>6259</v>
      </c>
      <c r="I79" s="128">
        <v>66.0</v>
      </c>
      <c r="J79" s="205" t="s">
        <v>447</v>
      </c>
    </row>
    <row r="80" ht="37.5" customHeight="1">
      <c r="A80" s="233"/>
      <c r="B80" s="204" t="s">
        <v>1509</v>
      </c>
      <c r="C80" s="128">
        <v>22.0</v>
      </c>
      <c r="D80" s="130" t="s">
        <v>6038</v>
      </c>
      <c r="E80" s="114" t="s">
        <v>6260</v>
      </c>
      <c r="F80" s="114" t="s">
        <v>6261</v>
      </c>
      <c r="G80" s="114" t="s">
        <v>1349</v>
      </c>
      <c r="H80" s="130" t="s">
        <v>6262</v>
      </c>
      <c r="I80" s="128">
        <v>67.0</v>
      </c>
      <c r="J80" s="205" t="s">
        <v>447</v>
      </c>
    </row>
    <row r="81" ht="37.5" customHeight="1">
      <c r="A81" s="233"/>
      <c r="B81" s="204" t="s">
        <v>3134</v>
      </c>
      <c r="C81" s="128">
        <v>18.0</v>
      </c>
      <c r="D81" s="130" t="s">
        <v>6038</v>
      </c>
      <c r="E81" s="114" t="s">
        <v>6263</v>
      </c>
      <c r="F81" s="114" t="s">
        <v>6264</v>
      </c>
      <c r="G81" s="114" t="s">
        <v>6265</v>
      </c>
      <c r="H81" s="130" t="s">
        <v>6266</v>
      </c>
      <c r="I81" s="128">
        <v>68.0</v>
      </c>
      <c r="J81" s="205" t="s">
        <v>447</v>
      </c>
    </row>
    <row r="82" ht="37.5" customHeight="1">
      <c r="A82" s="233"/>
      <c r="B82" s="204" t="s">
        <v>1069</v>
      </c>
      <c r="C82" s="128">
        <v>21.0</v>
      </c>
      <c r="D82" s="130" t="s">
        <v>6038</v>
      </c>
      <c r="E82" s="114" t="s">
        <v>6267</v>
      </c>
      <c r="F82" s="114" t="s">
        <v>6268</v>
      </c>
      <c r="G82" s="130" t="s">
        <v>6269</v>
      </c>
      <c r="H82" s="130" t="s">
        <v>6270</v>
      </c>
      <c r="I82" s="128">
        <v>69.0</v>
      </c>
      <c r="J82" s="205" t="s">
        <v>447</v>
      </c>
    </row>
    <row r="83" ht="37.5" customHeight="1">
      <c r="A83" s="233"/>
      <c r="B83" s="204" t="s">
        <v>1072</v>
      </c>
      <c r="C83" s="128">
        <v>22.0</v>
      </c>
      <c r="D83" s="130" t="s">
        <v>6038</v>
      </c>
      <c r="E83" s="114" t="s">
        <v>6271</v>
      </c>
      <c r="F83" s="114" t="s">
        <v>6272</v>
      </c>
      <c r="G83" s="114" t="s">
        <v>75</v>
      </c>
      <c r="H83" s="130" t="s">
        <v>6273</v>
      </c>
      <c r="I83" s="128">
        <v>70.0</v>
      </c>
      <c r="J83" s="205" t="s">
        <v>447</v>
      </c>
    </row>
  </sheetData>
  <autoFilter ref="$A$2:$J$83">
    <sortState ref="A2:J83">
      <sortCondition ref="I2:I83"/>
      <sortCondition ref="B2:B83"/>
      <sortCondition ref="D2:D83"/>
      <sortCondition ref="J2:J83"/>
    </sortState>
  </autoFilter>
  <mergeCells count="2">
    <mergeCell ref="A1:G1"/>
    <mergeCell ref="H1:J1"/>
  </mergeCells>
  <conditionalFormatting sqref="J3:J83">
    <cfRule type="cellIs" dxfId="4" priority="1" operator="equal">
      <formula>"E"</formula>
    </cfRule>
  </conditionalFormatting>
  <conditionalFormatting sqref="J3:J83">
    <cfRule type="cellIs" dxfId="23" priority="2" operator="equal">
      <formula>"F"</formula>
    </cfRule>
  </conditionalFormatting>
  <conditionalFormatting sqref="J3:J83">
    <cfRule type="cellIs" dxfId="5" priority="3" operator="equal">
      <formula>"✔"</formula>
    </cfRule>
  </conditionalFormatting>
  <conditionalFormatting sqref="J3:J83">
    <cfRule type="cellIs" dxfId="6" priority="4" operator="equal">
      <formula>"▲"</formula>
    </cfRule>
  </conditionalFormatting>
  <conditionalFormatting sqref="J3:J83">
    <cfRule type="cellIs" dxfId="24" priority="5" operator="equal">
      <formula>"!"</formula>
    </cfRule>
  </conditionalFormatting>
  <conditionalFormatting sqref="J3:J83">
    <cfRule type="cellIs" dxfId="7" priority="6" operator="equal">
      <formula>"✖"</formula>
    </cfRule>
  </conditionalFormatting>
  <conditionalFormatting sqref="I3:J83">
    <cfRule type="cellIs" dxfId="5" priority="7" operator="equal">
      <formula>"S"</formula>
    </cfRule>
  </conditionalFormatting>
  <conditionalFormatting sqref="I3:J83">
    <cfRule type="cellIs" dxfId="9" priority="8" operator="equal">
      <formula>"A"</formula>
    </cfRule>
  </conditionalFormatting>
  <conditionalFormatting sqref="I3:J83">
    <cfRule type="cellIs" dxfId="6" priority="9" operator="equal">
      <formula>"B"</formula>
    </cfRule>
  </conditionalFormatting>
  <conditionalFormatting sqref="I3:J83">
    <cfRule type="cellIs" dxfId="8" priority="10" operator="equal">
      <formula>"C"</formula>
    </cfRule>
  </conditionalFormatting>
  <conditionalFormatting sqref="I3:J83">
    <cfRule type="cellIs" dxfId="7" priority="11" operator="equal">
      <formula>"D"</formula>
    </cfRule>
  </conditionalFormatting>
  <conditionalFormatting sqref="I3:I83">
    <cfRule type="colorScale" priority="1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J3:J83">
    <cfRule type="cellIs" dxfId="4" priority="13" operator="equal">
      <formula>"F"</formula>
    </cfRule>
  </conditionalFormatting>
  <conditionalFormatting sqref="B3:C83">
    <cfRule type="expression" dxfId="26" priority="14">
      <formula>$C3=MAX($C$3:$C83)</formula>
    </cfRule>
  </conditionalFormatting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hidden="1" min="2" max="2" width="6.38"/>
    <col customWidth="1" min="3" max="3" width="20.13"/>
    <col customWidth="1" min="4" max="4" width="8.38"/>
    <col customWidth="1" min="5" max="5" width="18.75"/>
    <col customWidth="1" min="6" max="6" width="6.0"/>
    <col customWidth="1" min="7" max="7" width="13.0"/>
    <col customWidth="1" min="8" max="8" width="28.88"/>
    <col customWidth="1" min="9" max="9" width="28.25"/>
    <col customWidth="1" min="10" max="10" width="33.88"/>
    <col customWidth="1" min="11" max="11" width="6.88"/>
    <col customWidth="1" min="12" max="12" width="6.13"/>
  </cols>
  <sheetData>
    <row r="1" ht="16.5" customHeight="1">
      <c r="A1" s="190" t="s">
        <v>1979</v>
      </c>
      <c r="J1" s="192" t="s">
        <v>2061</v>
      </c>
    </row>
    <row r="2" ht="16.5" customHeight="1">
      <c r="A2" s="126" t="s">
        <v>1781</v>
      </c>
      <c r="B2" s="126" t="s">
        <v>1783</v>
      </c>
      <c r="C2" s="194" t="s">
        <v>6274</v>
      </c>
      <c r="D2" s="194" t="s">
        <v>2415</v>
      </c>
      <c r="E2" s="194" t="s">
        <v>6275</v>
      </c>
      <c r="F2" s="194" t="s">
        <v>6276</v>
      </c>
      <c r="G2" s="194" t="s">
        <v>4624</v>
      </c>
      <c r="H2" s="194" t="s">
        <v>5249</v>
      </c>
      <c r="I2" s="194" t="s">
        <v>2204</v>
      </c>
      <c r="J2" s="195" t="s">
        <v>4625</v>
      </c>
      <c r="K2" s="195" t="s">
        <v>2422</v>
      </c>
      <c r="L2" s="195" t="s">
        <v>63</v>
      </c>
    </row>
    <row r="3" ht="37.5" customHeight="1">
      <c r="A3" s="238"/>
      <c r="B3" s="114"/>
      <c r="C3" s="239" t="s">
        <v>6277</v>
      </c>
      <c r="D3" s="240">
        <v>29.0</v>
      </c>
      <c r="E3" s="241" t="s">
        <v>6278</v>
      </c>
      <c r="F3" s="242" t="s">
        <v>4643</v>
      </c>
      <c r="G3" s="242" t="s">
        <v>6279</v>
      </c>
      <c r="H3" s="242" t="s">
        <v>6280</v>
      </c>
      <c r="I3" s="243" t="s">
        <v>6281</v>
      </c>
      <c r="J3" s="242" t="s">
        <v>6282</v>
      </c>
      <c r="K3" s="244">
        <v>1.0</v>
      </c>
      <c r="L3" s="128" t="s">
        <v>71</v>
      </c>
    </row>
    <row r="4" ht="37.5" customHeight="1">
      <c r="A4" s="238"/>
      <c r="B4" s="114"/>
      <c r="C4" s="239" t="s">
        <v>6283</v>
      </c>
      <c r="D4" s="240">
        <v>29.0</v>
      </c>
      <c r="E4" s="241" t="s">
        <v>6284</v>
      </c>
      <c r="F4" s="242" t="s">
        <v>4643</v>
      </c>
      <c r="G4" s="242" t="s">
        <v>5524</v>
      </c>
      <c r="H4" s="242" t="s">
        <v>6285</v>
      </c>
      <c r="I4" s="243" t="s">
        <v>6286</v>
      </c>
      <c r="J4" s="242" t="s">
        <v>6287</v>
      </c>
      <c r="K4" s="244">
        <v>2.0</v>
      </c>
      <c r="L4" s="128" t="s">
        <v>71</v>
      </c>
    </row>
    <row r="5" ht="37.5" customHeight="1">
      <c r="A5" s="233"/>
      <c r="B5" s="114" t="s">
        <v>4726</v>
      </c>
      <c r="C5" s="239" t="s">
        <v>6288</v>
      </c>
      <c r="D5" s="240">
        <v>27.0</v>
      </c>
      <c r="E5" s="241" t="s">
        <v>6289</v>
      </c>
      <c r="F5" s="242" t="s">
        <v>4630</v>
      </c>
      <c r="G5" s="242" t="s">
        <v>6010</v>
      </c>
      <c r="H5" s="242" t="s">
        <v>6290</v>
      </c>
      <c r="I5" s="242" t="s">
        <v>6291</v>
      </c>
      <c r="J5" s="242" t="s">
        <v>6292</v>
      </c>
      <c r="K5" s="244">
        <v>3.0</v>
      </c>
      <c r="L5" s="128" t="s">
        <v>71</v>
      </c>
    </row>
    <row r="6" ht="37.5" customHeight="1">
      <c r="A6" s="233"/>
      <c r="B6" s="114"/>
      <c r="C6" s="239" t="s">
        <v>6293</v>
      </c>
      <c r="D6" s="240">
        <v>28.0</v>
      </c>
      <c r="E6" s="241" t="s">
        <v>6294</v>
      </c>
      <c r="F6" s="242" t="s">
        <v>4630</v>
      </c>
      <c r="G6" s="242" t="s">
        <v>6010</v>
      </c>
      <c r="H6" s="242" t="s">
        <v>6295</v>
      </c>
      <c r="I6" s="242" t="s">
        <v>6296</v>
      </c>
      <c r="J6" s="242" t="s">
        <v>6297</v>
      </c>
      <c r="K6" s="244">
        <v>4.0</v>
      </c>
      <c r="L6" s="128" t="s">
        <v>71</v>
      </c>
    </row>
    <row r="7" ht="37.5" customHeight="1">
      <c r="A7" s="233"/>
      <c r="B7" s="114"/>
      <c r="C7" s="239" t="s">
        <v>6298</v>
      </c>
      <c r="D7" s="240">
        <v>28.0</v>
      </c>
      <c r="E7" s="241" t="s">
        <v>6299</v>
      </c>
      <c r="F7" s="242" t="s">
        <v>4630</v>
      </c>
      <c r="G7" s="242" t="s">
        <v>5298</v>
      </c>
      <c r="H7" s="242" t="s">
        <v>6300</v>
      </c>
      <c r="I7" s="242" t="s">
        <v>6301</v>
      </c>
      <c r="J7" s="242" t="s">
        <v>6302</v>
      </c>
      <c r="K7" s="244">
        <v>5.0</v>
      </c>
      <c r="L7" s="128" t="s">
        <v>71</v>
      </c>
    </row>
    <row r="8" ht="37.5" customHeight="1">
      <c r="A8" s="238"/>
      <c r="B8" s="114"/>
      <c r="C8" s="239" t="s">
        <v>6303</v>
      </c>
      <c r="D8" s="240">
        <v>29.0</v>
      </c>
      <c r="E8" s="241" t="s">
        <v>6304</v>
      </c>
      <c r="F8" s="242" t="s">
        <v>4630</v>
      </c>
      <c r="G8" s="242" t="s">
        <v>6305</v>
      </c>
      <c r="H8" s="242" t="s">
        <v>6306</v>
      </c>
      <c r="I8" s="243" t="s">
        <v>6307</v>
      </c>
      <c r="J8" s="242" t="s">
        <v>6308</v>
      </c>
      <c r="K8" s="244">
        <v>6.0</v>
      </c>
      <c r="L8" s="128" t="s">
        <v>71</v>
      </c>
    </row>
    <row r="9" ht="37.5" customHeight="1">
      <c r="A9" s="238"/>
      <c r="B9" s="114"/>
      <c r="C9" s="239" t="s">
        <v>6309</v>
      </c>
      <c r="D9" s="240">
        <v>29.0</v>
      </c>
      <c r="E9" s="241" t="s">
        <v>6310</v>
      </c>
      <c r="F9" s="242" t="s">
        <v>4643</v>
      </c>
      <c r="G9" s="242" t="s">
        <v>6010</v>
      </c>
      <c r="H9" s="242" t="s">
        <v>6311</v>
      </c>
      <c r="I9" s="243" t="s">
        <v>6312</v>
      </c>
      <c r="J9" s="242" t="s">
        <v>6313</v>
      </c>
      <c r="K9" s="244">
        <v>7.0</v>
      </c>
      <c r="L9" s="128" t="s">
        <v>71</v>
      </c>
    </row>
    <row r="10" ht="37.5" customHeight="1">
      <c r="A10" s="233"/>
      <c r="B10" s="114" t="s">
        <v>4674</v>
      </c>
      <c r="C10" s="239" t="s">
        <v>6314</v>
      </c>
      <c r="D10" s="240">
        <v>27.0</v>
      </c>
      <c r="E10" s="241" t="s">
        <v>6315</v>
      </c>
      <c r="F10" s="242" t="s">
        <v>4630</v>
      </c>
      <c r="G10" s="242" t="s">
        <v>6010</v>
      </c>
      <c r="H10" s="242" t="s">
        <v>6316</v>
      </c>
      <c r="I10" s="243" t="s">
        <v>6317</v>
      </c>
      <c r="J10" s="242" t="s">
        <v>6318</v>
      </c>
      <c r="K10" s="244">
        <v>8.0</v>
      </c>
      <c r="L10" s="128" t="s">
        <v>71</v>
      </c>
    </row>
    <row r="11" ht="37.5" customHeight="1">
      <c r="A11" s="238"/>
      <c r="B11" s="114"/>
      <c r="C11" s="239" t="s">
        <v>6319</v>
      </c>
      <c r="D11" s="240">
        <v>29.0</v>
      </c>
      <c r="E11" s="241" t="s">
        <v>6320</v>
      </c>
      <c r="F11" s="242" t="s">
        <v>4643</v>
      </c>
      <c r="G11" s="242" t="s">
        <v>6010</v>
      </c>
      <c r="H11" s="242" t="s">
        <v>6321</v>
      </c>
      <c r="I11" s="243" t="s">
        <v>6322</v>
      </c>
      <c r="J11" s="242" t="s">
        <v>6323</v>
      </c>
      <c r="K11" s="244">
        <v>9.0</v>
      </c>
      <c r="L11" s="128" t="s">
        <v>71</v>
      </c>
    </row>
    <row r="12" ht="37.5" customHeight="1">
      <c r="A12" s="238"/>
      <c r="B12" s="114"/>
      <c r="C12" s="239" t="s">
        <v>6324</v>
      </c>
      <c r="D12" s="240">
        <v>29.0</v>
      </c>
      <c r="E12" s="241" t="s">
        <v>6325</v>
      </c>
      <c r="F12" s="242" t="s">
        <v>4630</v>
      </c>
      <c r="G12" s="242" t="s">
        <v>5362</v>
      </c>
      <c r="H12" s="242" t="s">
        <v>6306</v>
      </c>
      <c r="I12" s="243" t="s">
        <v>6326</v>
      </c>
      <c r="J12" s="242" t="s">
        <v>6327</v>
      </c>
      <c r="K12" s="244">
        <v>10.0</v>
      </c>
      <c r="L12" s="128" t="s">
        <v>71</v>
      </c>
    </row>
    <row r="13" ht="37.5" customHeight="1">
      <c r="A13" s="238"/>
      <c r="B13" s="114"/>
      <c r="C13" s="239" t="s">
        <v>6328</v>
      </c>
      <c r="D13" s="240">
        <v>29.0</v>
      </c>
      <c r="E13" s="241" t="s">
        <v>6329</v>
      </c>
      <c r="F13" s="242" t="s">
        <v>4643</v>
      </c>
      <c r="G13" s="242" t="s">
        <v>6010</v>
      </c>
      <c r="H13" s="242" t="s">
        <v>6330</v>
      </c>
      <c r="I13" s="243" t="s">
        <v>6331</v>
      </c>
      <c r="J13" s="242" t="s">
        <v>6332</v>
      </c>
      <c r="K13" s="244">
        <v>11.0</v>
      </c>
      <c r="L13" s="128" t="s">
        <v>71</v>
      </c>
    </row>
    <row r="14" ht="37.5" customHeight="1">
      <c r="A14" s="238"/>
      <c r="B14" s="114"/>
      <c r="C14" s="239" t="s">
        <v>6333</v>
      </c>
      <c r="D14" s="240">
        <v>29.0</v>
      </c>
      <c r="E14" s="241" t="s">
        <v>6334</v>
      </c>
      <c r="F14" s="242" t="s">
        <v>4643</v>
      </c>
      <c r="G14" s="242" t="s">
        <v>6010</v>
      </c>
      <c r="H14" s="242" t="s">
        <v>6335</v>
      </c>
      <c r="I14" s="243" t="s">
        <v>6336</v>
      </c>
      <c r="J14" s="242" t="s">
        <v>6337</v>
      </c>
      <c r="K14" s="244">
        <v>12.0</v>
      </c>
      <c r="L14" s="128" t="s">
        <v>71</v>
      </c>
    </row>
    <row r="15" ht="37.5" customHeight="1">
      <c r="A15" s="238"/>
      <c r="B15" s="114"/>
      <c r="C15" s="239" t="s">
        <v>6338</v>
      </c>
      <c r="D15" s="240">
        <v>29.0</v>
      </c>
      <c r="E15" s="241" t="s">
        <v>6339</v>
      </c>
      <c r="F15" s="242" t="s">
        <v>4643</v>
      </c>
      <c r="G15" s="242" t="s">
        <v>5524</v>
      </c>
      <c r="H15" s="242" t="s">
        <v>6340</v>
      </c>
      <c r="I15" s="243" t="s">
        <v>6341</v>
      </c>
      <c r="J15" s="242" t="s">
        <v>6342</v>
      </c>
      <c r="K15" s="244">
        <v>13.0</v>
      </c>
      <c r="L15" s="128" t="s">
        <v>71</v>
      </c>
    </row>
    <row r="16" ht="37.5" customHeight="1">
      <c r="A16" s="238"/>
      <c r="B16" s="114"/>
      <c r="C16" s="239" t="s">
        <v>6343</v>
      </c>
      <c r="D16" s="240">
        <v>29.0</v>
      </c>
      <c r="E16" s="241" t="s">
        <v>6344</v>
      </c>
      <c r="F16" s="242" t="s">
        <v>4630</v>
      </c>
      <c r="G16" s="242" t="s">
        <v>5308</v>
      </c>
      <c r="H16" s="242" t="s">
        <v>6345</v>
      </c>
      <c r="I16" s="243" t="s">
        <v>6346</v>
      </c>
      <c r="J16" s="242" t="s">
        <v>6347</v>
      </c>
      <c r="K16" s="244">
        <v>14.0</v>
      </c>
      <c r="L16" s="128" t="s">
        <v>71</v>
      </c>
    </row>
    <row r="17" ht="37.5" customHeight="1">
      <c r="A17" s="238"/>
      <c r="B17" s="114"/>
      <c r="C17" s="239" t="s">
        <v>6348</v>
      </c>
      <c r="D17" s="240">
        <v>29.0</v>
      </c>
      <c r="E17" s="241" t="s">
        <v>6349</v>
      </c>
      <c r="F17" s="242" t="s">
        <v>4643</v>
      </c>
      <c r="G17" s="242" t="s">
        <v>6010</v>
      </c>
      <c r="H17" s="242" t="s">
        <v>6350</v>
      </c>
      <c r="I17" s="243" t="s">
        <v>6351</v>
      </c>
      <c r="J17" s="242" t="s">
        <v>6352</v>
      </c>
      <c r="K17" s="244">
        <v>15.0</v>
      </c>
      <c r="L17" s="128" t="s">
        <v>92</v>
      </c>
    </row>
    <row r="18" ht="37.5" customHeight="1">
      <c r="A18" s="236"/>
      <c r="B18" s="245"/>
      <c r="C18" s="241" t="s">
        <v>6353</v>
      </c>
      <c r="D18" s="240">
        <v>28.0</v>
      </c>
      <c r="E18" s="241" t="s">
        <v>6354</v>
      </c>
      <c r="F18" s="242" t="s">
        <v>4643</v>
      </c>
      <c r="G18" s="242" t="s">
        <v>6010</v>
      </c>
      <c r="H18" s="242" t="s">
        <v>6355</v>
      </c>
      <c r="I18" s="242" t="s">
        <v>6356</v>
      </c>
      <c r="J18" s="242" t="s">
        <v>6357</v>
      </c>
      <c r="K18" s="244">
        <v>16.0</v>
      </c>
      <c r="L18" s="246" t="s">
        <v>92</v>
      </c>
    </row>
    <row r="19" ht="37.5" customHeight="1">
      <c r="A19" s="238"/>
      <c r="B19" s="114"/>
      <c r="C19" s="239" t="s">
        <v>6358</v>
      </c>
      <c r="D19" s="240">
        <v>29.0</v>
      </c>
      <c r="E19" s="241" t="s">
        <v>6359</v>
      </c>
      <c r="F19" s="242" t="s">
        <v>4643</v>
      </c>
      <c r="G19" s="242" t="s">
        <v>6305</v>
      </c>
      <c r="H19" s="242" t="s">
        <v>6360</v>
      </c>
      <c r="I19" s="243" t="s">
        <v>6361</v>
      </c>
      <c r="J19" s="242" t="s">
        <v>6362</v>
      </c>
      <c r="K19" s="244">
        <v>17.0</v>
      </c>
      <c r="L19" s="128" t="s">
        <v>92</v>
      </c>
    </row>
    <row r="20" ht="37.5" customHeight="1">
      <c r="A20" s="233"/>
      <c r="B20" s="114" t="s">
        <v>4722</v>
      </c>
      <c r="C20" s="239" t="s">
        <v>6363</v>
      </c>
      <c r="D20" s="240">
        <v>27.0</v>
      </c>
      <c r="E20" s="241" t="s">
        <v>6364</v>
      </c>
      <c r="F20" s="242" t="s">
        <v>4643</v>
      </c>
      <c r="G20" s="242" t="s">
        <v>5308</v>
      </c>
      <c r="H20" s="243" t="s">
        <v>6365</v>
      </c>
      <c r="I20" s="243" t="s">
        <v>6366</v>
      </c>
      <c r="J20" s="242" t="s">
        <v>6367</v>
      </c>
      <c r="K20" s="244">
        <v>18.0</v>
      </c>
      <c r="L20" s="128" t="s">
        <v>92</v>
      </c>
    </row>
    <row r="21" ht="37.5" customHeight="1">
      <c r="A21" s="233"/>
      <c r="B21" s="114"/>
      <c r="C21" s="239" t="s">
        <v>6368</v>
      </c>
      <c r="D21" s="240">
        <v>28.0</v>
      </c>
      <c r="E21" s="241" t="s">
        <v>6369</v>
      </c>
      <c r="F21" s="242" t="s">
        <v>4630</v>
      </c>
      <c r="G21" s="242" t="s">
        <v>6010</v>
      </c>
      <c r="H21" s="242" t="s">
        <v>6370</v>
      </c>
      <c r="I21" s="242" t="s">
        <v>6371</v>
      </c>
      <c r="J21" s="242" t="s">
        <v>6372</v>
      </c>
      <c r="K21" s="244">
        <v>19.0</v>
      </c>
      <c r="L21" s="128" t="s">
        <v>92</v>
      </c>
    </row>
    <row r="22" ht="37.5" customHeight="1">
      <c r="A22" s="238"/>
      <c r="B22" s="114"/>
      <c r="C22" s="239" t="s">
        <v>6373</v>
      </c>
      <c r="D22" s="240">
        <v>29.0</v>
      </c>
      <c r="E22" s="241" t="s">
        <v>6374</v>
      </c>
      <c r="F22" s="242" t="s">
        <v>4630</v>
      </c>
      <c r="G22" s="242" t="s">
        <v>6010</v>
      </c>
      <c r="H22" s="242" t="s">
        <v>6375</v>
      </c>
      <c r="I22" s="243" t="s">
        <v>6376</v>
      </c>
      <c r="J22" s="242" t="s">
        <v>6377</v>
      </c>
      <c r="K22" s="244">
        <v>20.0</v>
      </c>
      <c r="L22" s="128" t="s">
        <v>92</v>
      </c>
    </row>
    <row r="23" ht="37.5" customHeight="1">
      <c r="A23" s="238"/>
      <c r="B23" s="114"/>
      <c r="C23" s="239" t="s">
        <v>6378</v>
      </c>
      <c r="D23" s="240">
        <v>29.0</v>
      </c>
      <c r="E23" s="241" t="s">
        <v>6379</v>
      </c>
      <c r="F23" s="242" t="s">
        <v>4630</v>
      </c>
      <c r="G23" s="242" t="s">
        <v>5298</v>
      </c>
      <c r="H23" s="242" t="s">
        <v>6380</v>
      </c>
      <c r="I23" s="243" t="s">
        <v>6381</v>
      </c>
      <c r="J23" s="242" t="s">
        <v>6382</v>
      </c>
      <c r="K23" s="244">
        <v>21.0</v>
      </c>
      <c r="L23" s="128" t="s">
        <v>92</v>
      </c>
    </row>
    <row r="24" ht="37.5" customHeight="1">
      <c r="A24" s="238"/>
      <c r="B24" s="114"/>
      <c r="C24" s="239" t="s">
        <v>6383</v>
      </c>
      <c r="D24" s="240">
        <v>29.0</v>
      </c>
      <c r="E24" s="241" t="s">
        <v>6384</v>
      </c>
      <c r="F24" s="242" t="s">
        <v>4643</v>
      </c>
      <c r="G24" s="242" t="s">
        <v>5362</v>
      </c>
      <c r="H24" s="242" t="s">
        <v>6385</v>
      </c>
      <c r="I24" s="243" t="s">
        <v>6386</v>
      </c>
      <c r="J24" s="242" t="s">
        <v>6387</v>
      </c>
      <c r="K24" s="244">
        <v>22.0</v>
      </c>
      <c r="L24" s="128" t="s">
        <v>92</v>
      </c>
    </row>
    <row r="25" ht="37.5" customHeight="1">
      <c r="A25" s="233"/>
      <c r="B25" s="114" t="s">
        <v>4664</v>
      </c>
      <c r="C25" s="239" t="s">
        <v>6388</v>
      </c>
      <c r="D25" s="240">
        <v>27.0</v>
      </c>
      <c r="E25" s="241" t="s">
        <v>6389</v>
      </c>
      <c r="F25" s="242" t="s">
        <v>4630</v>
      </c>
      <c r="G25" s="242" t="s">
        <v>6010</v>
      </c>
      <c r="H25" s="243" t="s">
        <v>6390</v>
      </c>
      <c r="I25" s="243" t="s">
        <v>6391</v>
      </c>
      <c r="J25" s="242" t="s">
        <v>6392</v>
      </c>
      <c r="K25" s="244">
        <v>23.0</v>
      </c>
      <c r="L25" s="128" t="s">
        <v>92</v>
      </c>
    </row>
    <row r="26" ht="37.5" customHeight="1">
      <c r="A26" s="236"/>
      <c r="B26" s="245"/>
      <c r="C26" s="241" t="s">
        <v>6393</v>
      </c>
      <c r="D26" s="240">
        <v>28.0</v>
      </c>
      <c r="E26" s="241" t="s">
        <v>6394</v>
      </c>
      <c r="F26" s="242" t="s">
        <v>4643</v>
      </c>
      <c r="G26" s="242" t="s">
        <v>5524</v>
      </c>
      <c r="H26" s="242" t="s">
        <v>6395</v>
      </c>
      <c r="I26" s="242" t="s">
        <v>6396</v>
      </c>
      <c r="J26" s="242" t="s">
        <v>6397</v>
      </c>
      <c r="K26" s="244">
        <v>24.0</v>
      </c>
      <c r="L26" s="246" t="s">
        <v>92</v>
      </c>
    </row>
    <row r="27" ht="37.5" customHeight="1">
      <c r="A27" s="233"/>
      <c r="B27" s="114" t="s">
        <v>4724</v>
      </c>
      <c r="C27" s="239" t="s">
        <v>6398</v>
      </c>
      <c r="D27" s="240">
        <v>27.0</v>
      </c>
      <c r="E27" s="241" t="s">
        <v>6399</v>
      </c>
      <c r="F27" s="242" t="s">
        <v>4643</v>
      </c>
      <c r="G27" s="242" t="s">
        <v>5298</v>
      </c>
      <c r="H27" s="242" t="s">
        <v>6400</v>
      </c>
      <c r="I27" s="243" t="s">
        <v>6401</v>
      </c>
      <c r="J27" s="242" t="s">
        <v>6402</v>
      </c>
      <c r="K27" s="244">
        <v>25.0</v>
      </c>
      <c r="L27" s="128" t="s">
        <v>92</v>
      </c>
    </row>
    <row r="28" ht="37.5" customHeight="1">
      <c r="A28" s="238"/>
      <c r="B28" s="114"/>
      <c r="C28" s="239" t="s">
        <v>6403</v>
      </c>
      <c r="D28" s="240">
        <v>29.0</v>
      </c>
      <c r="E28" s="241" t="s">
        <v>6404</v>
      </c>
      <c r="F28" s="242" t="s">
        <v>4630</v>
      </c>
      <c r="G28" s="242" t="s">
        <v>5308</v>
      </c>
      <c r="H28" s="242" t="s">
        <v>6018</v>
      </c>
      <c r="I28" s="243" t="s">
        <v>6405</v>
      </c>
      <c r="J28" s="242" t="s">
        <v>6406</v>
      </c>
      <c r="K28" s="244">
        <v>26.0</v>
      </c>
      <c r="L28" s="246" t="s">
        <v>92</v>
      </c>
    </row>
    <row r="29" ht="37.5" customHeight="1">
      <c r="A29" s="238"/>
      <c r="B29" s="114"/>
      <c r="C29" s="239" t="s">
        <v>6407</v>
      </c>
      <c r="D29" s="240">
        <v>29.0</v>
      </c>
      <c r="E29" s="241" t="s">
        <v>6408</v>
      </c>
      <c r="F29" s="242" t="s">
        <v>4630</v>
      </c>
      <c r="G29" s="242" t="s">
        <v>5298</v>
      </c>
      <c r="H29" s="242" t="s">
        <v>6409</v>
      </c>
      <c r="I29" s="243" t="s">
        <v>6410</v>
      </c>
      <c r="J29" s="242" t="s">
        <v>6411</v>
      </c>
      <c r="K29" s="244">
        <v>27.0</v>
      </c>
      <c r="L29" s="246" t="s">
        <v>92</v>
      </c>
    </row>
    <row r="30" ht="37.5" customHeight="1">
      <c r="A30" s="236"/>
      <c r="B30" s="245"/>
      <c r="C30" s="239" t="s">
        <v>6412</v>
      </c>
      <c r="D30" s="240">
        <v>28.0</v>
      </c>
      <c r="E30" s="241" t="s">
        <v>6413</v>
      </c>
      <c r="F30" s="242" t="s">
        <v>4643</v>
      </c>
      <c r="G30" s="242" t="s">
        <v>5362</v>
      </c>
      <c r="H30" s="242" t="s">
        <v>6414</v>
      </c>
      <c r="I30" s="242" t="s">
        <v>6415</v>
      </c>
      <c r="J30" s="242" t="s">
        <v>6416</v>
      </c>
      <c r="K30" s="244">
        <v>28.0</v>
      </c>
      <c r="L30" s="128" t="s">
        <v>92</v>
      </c>
    </row>
    <row r="31" ht="37.5" customHeight="1">
      <c r="A31" s="233"/>
      <c r="B31" s="114" t="s">
        <v>4743</v>
      </c>
      <c r="C31" s="239" t="s">
        <v>6417</v>
      </c>
      <c r="D31" s="240">
        <v>27.0</v>
      </c>
      <c r="E31" s="241" t="s">
        <v>6418</v>
      </c>
      <c r="F31" s="242" t="s">
        <v>4643</v>
      </c>
      <c r="G31" s="242" t="s">
        <v>6419</v>
      </c>
      <c r="H31" s="243" t="s">
        <v>6420</v>
      </c>
      <c r="I31" s="243" t="s">
        <v>6421</v>
      </c>
      <c r="J31" s="242" t="s">
        <v>6422</v>
      </c>
      <c r="K31" s="244">
        <v>29.0</v>
      </c>
      <c r="L31" s="128" t="s">
        <v>92</v>
      </c>
    </row>
    <row r="32" ht="37.5" customHeight="1">
      <c r="A32" s="233"/>
      <c r="B32" s="114" t="s">
        <v>4769</v>
      </c>
      <c r="C32" s="239" t="s">
        <v>6423</v>
      </c>
      <c r="D32" s="240">
        <v>27.0</v>
      </c>
      <c r="E32" s="241" t="s">
        <v>6424</v>
      </c>
      <c r="F32" s="242" t="s">
        <v>4630</v>
      </c>
      <c r="G32" s="242" t="s">
        <v>6010</v>
      </c>
      <c r="H32" s="243" t="s">
        <v>6425</v>
      </c>
      <c r="I32" s="243" t="s">
        <v>6426</v>
      </c>
      <c r="J32" s="242" t="s">
        <v>6427</v>
      </c>
      <c r="K32" s="244">
        <v>30.0</v>
      </c>
      <c r="L32" s="128" t="s">
        <v>120</v>
      </c>
    </row>
    <row r="33" ht="37.5" customHeight="1">
      <c r="A33" s="233"/>
      <c r="B33" s="114" t="s">
        <v>4789</v>
      </c>
      <c r="C33" s="239" t="s">
        <v>6428</v>
      </c>
      <c r="D33" s="240">
        <v>27.0</v>
      </c>
      <c r="E33" s="241" t="s">
        <v>6429</v>
      </c>
      <c r="F33" s="242" t="s">
        <v>4630</v>
      </c>
      <c r="G33" s="242" t="s">
        <v>6010</v>
      </c>
      <c r="H33" s="242" t="s">
        <v>6430</v>
      </c>
      <c r="I33" s="242" t="s">
        <v>6431</v>
      </c>
      <c r="J33" s="242" t="s">
        <v>6432</v>
      </c>
      <c r="K33" s="244">
        <v>31.0</v>
      </c>
      <c r="L33" s="128" t="s">
        <v>120</v>
      </c>
    </row>
    <row r="34" ht="37.5" customHeight="1">
      <c r="A34" s="233"/>
      <c r="B34" s="114" t="s">
        <v>4720</v>
      </c>
      <c r="C34" s="239" t="s">
        <v>6433</v>
      </c>
      <c r="D34" s="240">
        <v>27.0</v>
      </c>
      <c r="E34" s="241" t="s">
        <v>6434</v>
      </c>
      <c r="F34" s="242" t="s">
        <v>4630</v>
      </c>
      <c r="G34" s="242" t="s">
        <v>5524</v>
      </c>
      <c r="H34" s="242" t="s">
        <v>6400</v>
      </c>
      <c r="I34" s="242" t="s">
        <v>6435</v>
      </c>
      <c r="J34" s="242" t="s">
        <v>6436</v>
      </c>
      <c r="K34" s="244">
        <v>32.0</v>
      </c>
      <c r="L34" s="128" t="s">
        <v>120</v>
      </c>
    </row>
    <row r="35" ht="37.5" customHeight="1">
      <c r="A35" s="238"/>
      <c r="B35" s="114"/>
      <c r="C35" s="239" t="s">
        <v>6437</v>
      </c>
      <c r="D35" s="240">
        <v>29.0</v>
      </c>
      <c r="E35" s="241" t="s">
        <v>6438</v>
      </c>
      <c r="F35" s="242" t="s">
        <v>4643</v>
      </c>
      <c r="G35" s="242" t="s">
        <v>6010</v>
      </c>
      <c r="H35" s="242" t="s">
        <v>6439</v>
      </c>
      <c r="I35" s="243" t="s">
        <v>6440</v>
      </c>
      <c r="J35" s="242" t="s">
        <v>6441</v>
      </c>
      <c r="K35" s="244">
        <v>33.0</v>
      </c>
      <c r="L35" s="128" t="s">
        <v>120</v>
      </c>
    </row>
    <row r="36" ht="37.5" customHeight="1">
      <c r="A36" s="238"/>
      <c r="B36" s="114"/>
      <c r="C36" s="239" t="s">
        <v>6442</v>
      </c>
      <c r="D36" s="240">
        <v>29.0</v>
      </c>
      <c r="E36" s="241" t="s">
        <v>6443</v>
      </c>
      <c r="F36" s="242" t="s">
        <v>4630</v>
      </c>
      <c r="G36" s="242" t="s">
        <v>6068</v>
      </c>
      <c r="H36" s="242" t="s">
        <v>6444</v>
      </c>
      <c r="I36" s="243" t="s">
        <v>6445</v>
      </c>
      <c r="J36" s="242" t="s">
        <v>6446</v>
      </c>
      <c r="K36" s="244">
        <v>34.0</v>
      </c>
      <c r="L36" s="128" t="s">
        <v>120</v>
      </c>
    </row>
    <row r="37" ht="37.5" customHeight="1">
      <c r="A37" s="233"/>
      <c r="B37" s="114" t="s">
        <v>4647</v>
      </c>
      <c r="C37" s="239" t="s">
        <v>6447</v>
      </c>
      <c r="D37" s="240">
        <v>27.0</v>
      </c>
      <c r="E37" s="241" t="s">
        <v>6448</v>
      </c>
      <c r="F37" s="242" t="s">
        <v>4643</v>
      </c>
      <c r="G37" s="242" t="s">
        <v>6419</v>
      </c>
      <c r="H37" s="243" t="s">
        <v>6449</v>
      </c>
      <c r="I37" s="243" t="s">
        <v>6450</v>
      </c>
      <c r="J37" s="242" t="s">
        <v>6451</v>
      </c>
      <c r="K37" s="244">
        <v>35.0</v>
      </c>
      <c r="L37" s="128" t="s">
        <v>120</v>
      </c>
    </row>
    <row r="38" ht="37.5" customHeight="1">
      <c r="A38" s="233"/>
      <c r="B38" s="114" t="s">
        <v>4643</v>
      </c>
      <c r="C38" s="239" t="s">
        <v>6452</v>
      </c>
      <c r="D38" s="240">
        <v>27.0</v>
      </c>
      <c r="E38" s="241" t="s">
        <v>6453</v>
      </c>
      <c r="F38" s="242" t="s">
        <v>4643</v>
      </c>
      <c r="G38" s="242" t="s">
        <v>6010</v>
      </c>
      <c r="H38" s="243" t="s">
        <v>6454</v>
      </c>
      <c r="I38" s="243" t="s">
        <v>6455</v>
      </c>
      <c r="J38" s="242" t="s">
        <v>6456</v>
      </c>
      <c r="K38" s="244">
        <v>36.0</v>
      </c>
      <c r="L38" s="128" t="s">
        <v>136</v>
      </c>
    </row>
    <row r="39" ht="37.5" customHeight="1">
      <c r="A39" s="233"/>
      <c r="B39" s="114" t="s">
        <v>4666</v>
      </c>
      <c r="C39" s="239" t="s">
        <v>6457</v>
      </c>
      <c r="D39" s="240">
        <v>27.0</v>
      </c>
      <c r="E39" s="241" t="s">
        <v>6458</v>
      </c>
      <c r="F39" s="242" t="s">
        <v>4630</v>
      </c>
      <c r="G39" s="242" t="s">
        <v>6068</v>
      </c>
      <c r="H39" s="243" t="s">
        <v>6459</v>
      </c>
      <c r="I39" s="243" t="s">
        <v>6460</v>
      </c>
      <c r="J39" s="242" t="s">
        <v>6461</v>
      </c>
      <c r="K39" s="244">
        <v>37.0</v>
      </c>
      <c r="L39" s="128" t="s">
        <v>136</v>
      </c>
    </row>
    <row r="40" ht="37.5" customHeight="1">
      <c r="A40" s="238"/>
      <c r="B40" s="114"/>
      <c r="C40" s="239" t="s">
        <v>6462</v>
      </c>
      <c r="D40" s="240">
        <v>29.0</v>
      </c>
      <c r="E40" s="241" t="s">
        <v>6463</v>
      </c>
      <c r="F40" s="242" t="s">
        <v>4630</v>
      </c>
      <c r="G40" s="242" t="s">
        <v>6010</v>
      </c>
      <c r="H40" s="242" t="s">
        <v>6464</v>
      </c>
      <c r="I40" s="243" t="s">
        <v>6465</v>
      </c>
      <c r="J40" s="242" t="s">
        <v>6466</v>
      </c>
      <c r="K40" s="244">
        <v>38.0</v>
      </c>
      <c r="L40" s="128" t="s">
        <v>136</v>
      </c>
    </row>
    <row r="41" ht="37.5" customHeight="1">
      <c r="A41" s="238"/>
      <c r="B41" s="114"/>
      <c r="C41" s="239" t="s">
        <v>6467</v>
      </c>
      <c r="D41" s="240">
        <v>29.0</v>
      </c>
      <c r="E41" s="241" t="s">
        <v>6468</v>
      </c>
      <c r="F41" s="242" t="s">
        <v>4643</v>
      </c>
      <c r="G41" s="242" t="s">
        <v>5298</v>
      </c>
      <c r="H41" s="242" t="s">
        <v>6469</v>
      </c>
      <c r="I41" s="243" t="s">
        <v>6470</v>
      </c>
      <c r="J41" s="242" t="s">
        <v>6471</v>
      </c>
      <c r="K41" s="244">
        <v>39.0</v>
      </c>
      <c r="L41" s="128" t="s">
        <v>136</v>
      </c>
    </row>
    <row r="42" ht="37.5" customHeight="1">
      <c r="A42" s="238"/>
      <c r="B42" s="114"/>
      <c r="C42" s="239" t="s">
        <v>6472</v>
      </c>
      <c r="D42" s="240">
        <v>29.0</v>
      </c>
      <c r="E42" s="241" t="s">
        <v>6473</v>
      </c>
      <c r="F42" s="242" t="s">
        <v>4630</v>
      </c>
      <c r="G42" s="242" t="s">
        <v>6010</v>
      </c>
      <c r="H42" s="242" t="s">
        <v>6474</v>
      </c>
      <c r="I42" s="243" t="s">
        <v>6475</v>
      </c>
      <c r="J42" s="242" t="s">
        <v>6476</v>
      </c>
      <c r="K42" s="244">
        <v>40.0</v>
      </c>
      <c r="L42" s="128" t="s">
        <v>136</v>
      </c>
    </row>
    <row r="43" ht="37.5" customHeight="1">
      <c r="A43" s="238"/>
      <c r="B43" s="114"/>
      <c r="C43" s="239" t="s">
        <v>6477</v>
      </c>
      <c r="D43" s="240">
        <v>29.0</v>
      </c>
      <c r="E43" s="241" t="s">
        <v>6478</v>
      </c>
      <c r="F43" s="242" t="s">
        <v>4643</v>
      </c>
      <c r="G43" s="242" t="s">
        <v>6010</v>
      </c>
      <c r="H43" s="242" t="s">
        <v>6479</v>
      </c>
      <c r="I43" s="243" t="s">
        <v>6480</v>
      </c>
      <c r="J43" s="242" t="s">
        <v>6481</v>
      </c>
      <c r="K43" s="244">
        <v>41.0</v>
      </c>
      <c r="L43" s="128" t="s">
        <v>136</v>
      </c>
    </row>
    <row r="44" ht="37.5" customHeight="1">
      <c r="A44" s="238"/>
      <c r="B44" s="114"/>
      <c r="C44" s="239" t="s">
        <v>6482</v>
      </c>
      <c r="D44" s="240">
        <v>29.0</v>
      </c>
      <c r="E44" s="241" t="s">
        <v>6483</v>
      </c>
      <c r="F44" s="242" t="s">
        <v>4630</v>
      </c>
      <c r="G44" s="242" t="s">
        <v>6010</v>
      </c>
      <c r="H44" s="242" t="s">
        <v>6484</v>
      </c>
      <c r="I44" s="243" t="s">
        <v>6485</v>
      </c>
      <c r="J44" s="242" t="s">
        <v>6486</v>
      </c>
      <c r="K44" s="244">
        <v>42.0</v>
      </c>
      <c r="L44" s="128" t="s">
        <v>136</v>
      </c>
    </row>
    <row r="45" ht="37.5" customHeight="1">
      <c r="A45" s="238"/>
      <c r="B45" s="114"/>
      <c r="C45" s="239" t="s">
        <v>6487</v>
      </c>
      <c r="D45" s="240">
        <v>29.0</v>
      </c>
      <c r="E45" s="241" t="s">
        <v>6488</v>
      </c>
      <c r="F45" s="242" t="s">
        <v>4630</v>
      </c>
      <c r="G45" s="242" t="s">
        <v>6010</v>
      </c>
      <c r="H45" s="242" t="s">
        <v>6489</v>
      </c>
      <c r="I45" s="243" t="s">
        <v>6490</v>
      </c>
      <c r="J45" s="242" t="s">
        <v>6491</v>
      </c>
      <c r="K45" s="244">
        <v>43.0</v>
      </c>
      <c r="L45" s="128" t="s">
        <v>136</v>
      </c>
    </row>
    <row r="46" ht="37.5" customHeight="1">
      <c r="A46" s="233"/>
      <c r="B46" s="114" t="s">
        <v>4630</v>
      </c>
      <c r="C46" s="239" t="s">
        <v>6492</v>
      </c>
      <c r="D46" s="240">
        <v>27.0</v>
      </c>
      <c r="E46" s="241" t="s">
        <v>6493</v>
      </c>
      <c r="F46" s="242" t="s">
        <v>4643</v>
      </c>
      <c r="G46" s="242" t="s">
        <v>6010</v>
      </c>
      <c r="H46" s="242" t="s">
        <v>6494</v>
      </c>
      <c r="I46" s="242" t="s">
        <v>6495</v>
      </c>
      <c r="J46" s="242" t="s">
        <v>6496</v>
      </c>
      <c r="K46" s="244">
        <v>44.0</v>
      </c>
      <c r="L46" s="128" t="s">
        <v>136</v>
      </c>
    </row>
    <row r="47" ht="37.5" customHeight="1">
      <c r="A47" s="238"/>
      <c r="B47" s="114"/>
      <c r="C47" s="239" t="s">
        <v>6497</v>
      </c>
      <c r="D47" s="240">
        <v>29.0</v>
      </c>
      <c r="E47" s="241" t="s">
        <v>6498</v>
      </c>
      <c r="F47" s="242" t="s">
        <v>4630</v>
      </c>
      <c r="G47" s="242" t="s">
        <v>6010</v>
      </c>
      <c r="H47" s="242" t="s">
        <v>6499</v>
      </c>
      <c r="I47" s="243" t="s">
        <v>6500</v>
      </c>
      <c r="J47" s="242" t="s">
        <v>6501</v>
      </c>
      <c r="K47" s="244">
        <v>45.0</v>
      </c>
      <c r="L47" s="128" t="s">
        <v>136</v>
      </c>
    </row>
    <row r="48" ht="37.5" customHeight="1">
      <c r="A48" s="238"/>
      <c r="B48" s="114"/>
      <c r="C48" s="239" t="s">
        <v>6502</v>
      </c>
      <c r="D48" s="240">
        <v>29.0</v>
      </c>
      <c r="E48" s="241" t="s">
        <v>6503</v>
      </c>
      <c r="F48" s="242" t="s">
        <v>4630</v>
      </c>
      <c r="G48" s="242" t="s">
        <v>5298</v>
      </c>
      <c r="H48" s="242" t="s">
        <v>6504</v>
      </c>
      <c r="I48" s="243" t="s">
        <v>6505</v>
      </c>
      <c r="J48" s="242" t="s">
        <v>6506</v>
      </c>
      <c r="K48" s="244">
        <v>46.0</v>
      </c>
      <c r="L48" s="128" t="s">
        <v>136</v>
      </c>
    </row>
    <row r="49" ht="37.5" customHeight="1">
      <c r="A49" s="238"/>
      <c r="B49" s="114"/>
      <c r="C49" s="239" t="s">
        <v>6507</v>
      </c>
      <c r="D49" s="240">
        <v>29.0</v>
      </c>
      <c r="E49" s="241" t="s">
        <v>6508</v>
      </c>
      <c r="F49" s="242" t="s">
        <v>4630</v>
      </c>
      <c r="G49" s="242" t="s">
        <v>5298</v>
      </c>
      <c r="H49" s="242" t="s">
        <v>6509</v>
      </c>
      <c r="I49" s="243" t="s">
        <v>6510</v>
      </c>
      <c r="J49" s="242" t="s">
        <v>6511</v>
      </c>
      <c r="K49" s="244">
        <v>47.0</v>
      </c>
      <c r="L49" s="128" t="s">
        <v>136</v>
      </c>
    </row>
    <row r="50" ht="37.5" customHeight="1">
      <c r="A50" s="233"/>
      <c r="B50" s="114" t="s">
        <v>4637</v>
      </c>
      <c r="C50" s="239" t="s">
        <v>6512</v>
      </c>
      <c r="D50" s="240">
        <v>27.0</v>
      </c>
      <c r="E50" s="241" t="s">
        <v>6513</v>
      </c>
      <c r="F50" s="242" t="s">
        <v>4630</v>
      </c>
      <c r="G50" s="242" t="s">
        <v>6010</v>
      </c>
      <c r="H50" s="242" t="s">
        <v>6514</v>
      </c>
      <c r="I50" s="242" t="s">
        <v>6515</v>
      </c>
      <c r="J50" s="242" t="s">
        <v>6516</v>
      </c>
      <c r="K50" s="244">
        <v>48.0</v>
      </c>
      <c r="L50" s="128" t="s">
        <v>136</v>
      </c>
    </row>
    <row r="51" ht="37.5" customHeight="1">
      <c r="A51" s="238"/>
      <c r="B51" s="114"/>
      <c r="C51" s="239" t="s">
        <v>6517</v>
      </c>
      <c r="D51" s="240">
        <v>29.0</v>
      </c>
      <c r="E51" s="241" t="s">
        <v>6518</v>
      </c>
      <c r="F51" s="242" t="s">
        <v>4630</v>
      </c>
      <c r="G51" s="242" t="s">
        <v>6010</v>
      </c>
      <c r="H51" s="242" t="s">
        <v>6420</v>
      </c>
      <c r="I51" s="243" t="s">
        <v>6519</v>
      </c>
      <c r="J51" s="242" t="s">
        <v>6520</v>
      </c>
      <c r="K51" s="244">
        <v>49.0</v>
      </c>
      <c r="L51" s="128" t="s">
        <v>136</v>
      </c>
    </row>
    <row r="52" ht="37.5" customHeight="1">
      <c r="A52" s="233"/>
      <c r="B52" s="114" t="s">
        <v>4659</v>
      </c>
      <c r="C52" s="239" t="s">
        <v>6521</v>
      </c>
      <c r="D52" s="240">
        <v>27.0</v>
      </c>
      <c r="E52" s="241" t="s">
        <v>6522</v>
      </c>
      <c r="F52" s="242" t="s">
        <v>4643</v>
      </c>
      <c r="G52" s="242" t="s">
        <v>6010</v>
      </c>
      <c r="H52" s="243" t="s">
        <v>6523</v>
      </c>
      <c r="I52" s="243" t="s">
        <v>6524</v>
      </c>
      <c r="J52" s="242" t="s">
        <v>6525</v>
      </c>
      <c r="K52" s="244">
        <v>50.0</v>
      </c>
      <c r="L52" s="128" t="s">
        <v>167</v>
      </c>
    </row>
    <row r="53" ht="37.5" customHeight="1">
      <c r="A53" s="233"/>
      <c r="B53" s="114" t="s">
        <v>4670</v>
      </c>
      <c r="C53" s="239" t="s">
        <v>6526</v>
      </c>
      <c r="D53" s="240">
        <v>27.0</v>
      </c>
      <c r="E53" s="241" t="s">
        <v>6527</v>
      </c>
      <c r="F53" s="242" t="s">
        <v>4643</v>
      </c>
      <c r="G53" s="242" t="s">
        <v>6010</v>
      </c>
      <c r="H53" s="243" t="s">
        <v>6528</v>
      </c>
      <c r="I53" s="243" t="s">
        <v>6391</v>
      </c>
      <c r="J53" s="242" t="s">
        <v>6529</v>
      </c>
      <c r="K53" s="244">
        <v>51.0</v>
      </c>
      <c r="L53" s="128" t="s">
        <v>167</v>
      </c>
    </row>
    <row r="54" ht="37.5" customHeight="1">
      <c r="A54" s="238"/>
      <c r="B54" s="114"/>
      <c r="C54" s="239" t="s">
        <v>6530</v>
      </c>
      <c r="D54" s="240">
        <v>29.0</v>
      </c>
      <c r="E54" s="241" t="s">
        <v>6531</v>
      </c>
      <c r="F54" s="242" t="s">
        <v>4643</v>
      </c>
      <c r="G54" s="242" t="s">
        <v>6010</v>
      </c>
      <c r="H54" s="242" t="s">
        <v>6532</v>
      </c>
      <c r="I54" s="243" t="s">
        <v>6533</v>
      </c>
      <c r="J54" s="242" t="s">
        <v>6534</v>
      </c>
      <c r="K54" s="244">
        <v>52.0</v>
      </c>
      <c r="L54" s="128" t="s">
        <v>167</v>
      </c>
    </row>
    <row r="55" ht="37.5" customHeight="1">
      <c r="A55" s="233"/>
      <c r="B55" s="114" t="s">
        <v>4650</v>
      </c>
      <c r="C55" s="239" t="s">
        <v>6535</v>
      </c>
      <c r="D55" s="240">
        <v>27.0</v>
      </c>
      <c r="E55" s="241" t="s">
        <v>6536</v>
      </c>
      <c r="F55" s="242" t="s">
        <v>4643</v>
      </c>
      <c r="G55" s="242" t="s">
        <v>5362</v>
      </c>
      <c r="H55" s="243" t="s">
        <v>6290</v>
      </c>
      <c r="I55" s="243" t="s">
        <v>6537</v>
      </c>
      <c r="J55" s="242" t="s">
        <v>6538</v>
      </c>
      <c r="K55" s="244">
        <v>53.0</v>
      </c>
      <c r="L55" s="128" t="s">
        <v>167</v>
      </c>
    </row>
    <row r="56" ht="37.5" customHeight="1">
      <c r="A56" s="233"/>
      <c r="B56" s="114" t="s">
        <v>4676</v>
      </c>
      <c r="C56" s="239" t="s">
        <v>6539</v>
      </c>
      <c r="D56" s="240">
        <v>27.0</v>
      </c>
      <c r="E56" s="241" t="s">
        <v>427</v>
      </c>
      <c r="F56" s="242" t="s">
        <v>4643</v>
      </c>
      <c r="G56" s="242" t="s">
        <v>6010</v>
      </c>
      <c r="H56" s="243" t="s">
        <v>6540</v>
      </c>
      <c r="I56" s="243" t="s">
        <v>6541</v>
      </c>
      <c r="J56" s="242" t="s">
        <v>6542</v>
      </c>
      <c r="K56" s="244">
        <v>54.0</v>
      </c>
      <c r="L56" s="128" t="s">
        <v>167</v>
      </c>
    </row>
    <row r="57" ht="37.5" customHeight="1">
      <c r="A57" s="238"/>
      <c r="B57" s="114"/>
      <c r="C57" s="239" t="s">
        <v>6543</v>
      </c>
      <c r="D57" s="240">
        <v>29.0</v>
      </c>
      <c r="E57" s="241" t="s">
        <v>6544</v>
      </c>
      <c r="F57" s="242" t="s">
        <v>4630</v>
      </c>
      <c r="G57" s="242" t="s">
        <v>6545</v>
      </c>
      <c r="H57" s="242" t="s">
        <v>6546</v>
      </c>
      <c r="I57" s="243" t="s">
        <v>6547</v>
      </c>
      <c r="J57" s="242" t="s">
        <v>6548</v>
      </c>
      <c r="K57" s="244">
        <v>55.0</v>
      </c>
      <c r="L57" s="128" t="s">
        <v>167</v>
      </c>
    </row>
    <row r="58" ht="37.5" customHeight="1">
      <c r="A58" s="238"/>
      <c r="B58" s="114"/>
      <c r="C58" s="239" t="s">
        <v>6549</v>
      </c>
      <c r="D58" s="240">
        <v>29.0</v>
      </c>
      <c r="E58" s="241" t="s">
        <v>6550</v>
      </c>
      <c r="F58" s="242" t="s">
        <v>4643</v>
      </c>
      <c r="G58" s="242" t="s">
        <v>6010</v>
      </c>
      <c r="H58" s="242" t="s">
        <v>6551</v>
      </c>
      <c r="I58" s="243" t="s">
        <v>6552</v>
      </c>
      <c r="J58" s="242" t="s">
        <v>6553</v>
      </c>
      <c r="K58" s="244">
        <v>56.0</v>
      </c>
      <c r="L58" s="128" t="s">
        <v>167</v>
      </c>
    </row>
    <row r="59" ht="37.5" customHeight="1">
      <c r="A59" s="238"/>
      <c r="B59" s="114"/>
      <c r="C59" s="239" t="s">
        <v>6554</v>
      </c>
      <c r="D59" s="240">
        <v>29.0</v>
      </c>
      <c r="E59" s="241" t="s">
        <v>6555</v>
      </c>
      <c r="F59" s="242" t="s">
        <v>4643</v>
      </c>
      <c r="G59" s="242" t="s">
        <v>6556</v>
      </c>
      <c r="H59" s="242" t="s">
        <v>6557</v>
      </c>
      <c r="I59" s="243" t="s">
        <v>6558</v>
      </c>
      <c r="J59" s="242" t="s">
        <v>6559</v>
      </c>
      <c r="K59" s="244">
        <v>57.0</v>
      </c>
      <c r="L59" s="128" t="s">
        <v>167</v>
      </c>
    </row>
    <row r="60" ht="37.5" customHeight="1">
      <c r="A60" s="238"/>
      <c r="B60" s="114"/>
      <c r="C60" s="239" t="s">
        <v>6560</v>
      </c>
      <c r="D60" s="240">
        <v>29.0</v>
      </c>
      <c r="E60" s="241" t="s">
        <v>6561</v>
      </c>
      <c r="F60" s="242" t="s">
        <v>4643</v>
      </c>
      <c r="G60" s="242" t="s">
        <v>5308</v>
      </c>
      <c r="H60" s="242" t="s">
        <v>6562</v>
      </c>
      <c r="I60" s="243" t="s">
        <v>6563</v>
      </c>
      <c r="J60" s="242" t="s">
        <v>6564</v>
      </c>
      <c r="K60" s="244">
        <v>58.0</v>
      </c>
      <c r="L60" s="128" t="s">
        <v>167</v>
      </c>
    </row>
    <row r="61" ht="37.5" customHeight="1">
      <c r="A61" s="238"/>
      <c r="B61" s="114"/>
      <c r="C61" s="239" t="s">
        <v>6565</v>
      </c>
      <c r="D61" s="240">
        <v>29.0</v>
      </c>
      <c r="E61" s="241" t="s">
        <v>6566</v>
      </c>
      <c r="F61" s="242" t="s">
        <v>4643</v>
      </c>
      <c r="G61" s="242" t="s">
        <v>5524</v>
      </c>
      <c r="H61" s="242" t="s">
        <v>6567</v>
      </c>
      <c r="I61" s="243" t="s">
        <v>6568</v>
      </c>
      <c r="J61" s="242" t="s">
        <v>6569</v>
      </c>
      <c r="K61" s="244">
        <v>59.0</v>
      </c>
      <c r="L61" s="128" t="s">
        <v>167</v>
      </c>
    </row>
    <row r="62" ht="37.5" customHeight="1">
      <c r="A62" s="238"/>
      <c r="B62" s="114"/>
      <c r="C62" s="239" t="s">
        <v>6570</v>
      </c>
      <c r="D62" s="240">
        <v>29.0</v>
      </c>
      <c r="E62" s="241" t="s">
        <v>6571</v>
      </c>
      <c r="F62" s="242" t="s">
        <v>4643</v>
      </c>
      <c r="G62" s="242" t="s">
        <v>6010</v>
      </c>
      <c r="H62" s="242" t="s">
        <v>6449</v>
      </c>
      <c r="I62" s="243" t="s">
        <v>6572</v>
      </c>
      <c r="J62" s="242" t="s">
        <v>6573</v>
      </c>
      <c r="K62" s="244">
        <v>60.0</v>
      </c>
      <c r="L62" s="128" t="s">
        <v>167</v>
      </c>
    </row>
    <row r="63" ht="37.5" customHeight="1">
      <c r="A63" s="238"/>
      <c r="B63" s="114"/>
      <c r="C63" s="239" t="s">
        <v>6574</v>
      </c>
      <c r="D63" s="240">
        <v>29.0</v>
      </c>
      <c r="E63" s="241" t="s">
        <v>6575</v>
      </c>
      <c r="F63" s="242" t="s">
        <v>4643</v>
      </c>
      <c r="G63" s="242" t="s">
        <v>5362</v>
      </c>
      <c r="H63" s="242" t="s">
        <v>6576</v>
      </c>
      <c r="I63" s="243" t="s">
        <v>6577</v>
      </c>
      <c r="J63" s="242" t="s">
        <v>6578</v>
      </c>
      <c r="K63" s="244">
        <v>61.0</v>
      </c>
      <c r="L63" s="128" t="s">
        <v>167</v>
      </c>
    </row>
    <row r="64" ht="37.5" customHeight="1">
      <c r="A64" s="238"/>
      <c r="B64" s="114"/>
      <c r="C64" s="239" t="s">
        <v>6579</v>
      </c>
      <c r="D64" s="240">
        <v>29.0</v>
      </c>
      <c r="E64" s="241" t="s">
        <v>6580</v>
      </c>
      <c r="F64" s="242" t="s">
        <v>4630</v>
      </c>
      <c r="G64" s="242" t="s">
        <v>6581</v>
      </c>
      <c r="H64" s="242" t="s">
        <v>6582</v>
      </c>
      <c r="I64" s="243" t="s">
        <v>6583</v>
      </c>
      <c r="J64" s="242" t="s">
        <v>6584</v>
      </c>
      <c r="K64" s="244">
        <v>62.0</v>
      </c>
      <c r="L64" s="128" t="s">
        <v>167</v>
      </c>
    </row>
    <row r="65" ht="37.5" customHeight="1">
      <c r="A65" s="238"/>
      <c r="B65" s="114"/>
      <c r="C65" s="239" t="s">
        <v>6585</v>
      </c>
      <c r="D65" s="240">
        <v>29.0</v>
      </c>
      <c r="E65" s="241" t="s">
        <v>6586</v>
      </c>
      <c r="F65" s="242" t="s">
        <v>4630</v>
      </c>
      <c r="G65" s="242" t="s">
        <v>5524</v>
      </c>
      <c r="H65" s="242" t="s">
        <v>6587</v>
      </c>
      <c r="I65" s="243" t="s">
        <v>6588</v>
      </c>
      <c r="J65" s="242" t="s">
        <v>6589</v>
      </c>
      <c r="K65" s="244">
        <v>63.0</v>
      </c>
      <c r="L65" s="128" t="s">
        <v>167</v>
      </c>
    </row>
    <row r="66" ht="37.5" customHeight="1">
      <c r="A66" s="238"/>
      <c r="B66" s="114"/>
      <c r="C66" s="239" t="s">
        <v>6590</v>
      </c>
      <c r="D66" s="240">
        <v>29.0</v>
      </c>
      <c r="E66" s="241" t="s">
        <v>6591</v>
      </c>
      <c r="F66" s="242" t="s">
        <v>4630</v>
      </c>
      <c r="G66" s="242" t="s">
        <v>5298</v>
      </c>
      <c r="H66" s="242" t="s">
        <v>6592</v>
      </c>
      <c r="I66" s="243" t="s">
        <v>6593</v>
      </c>
      <c r="J66" s="242" t="s">
        <v>6594</v>
      </c>
      <c r="K66" s="244">
        <v>64.0</v>
      </c>
      <c r="L66" s="128" t="s">
        <v>167</v>
      </c>
    </row>
    <row r="67" ht="37.5" customHeight="1">
      <c r="A67" s="238"/>
      <c r="B67" s="114"/>
      <c r="C67" s="239" t="s">
        <v>6595</v>
      </c>
      <c r="D67" s="240">
        <v>29.0</v>
      </c>
      <c r="E67" s="241" t="s">
        <v>6596</v>
      </c>
      <c r="F67" s="242" t="s">
        <v>4630</v>
      </c>
      <c r="G67" s="242" t="s">
        <v>5256</v>
      </c>
      <c r="H67" s="242" t="s">
        <v>6597</v>
      </c>
      <c r="I67" s="242" t="s">
        <v>6598</v>
      </c>
      <c r="J67" s="242" t="s">
        <v>6599</v>
      </c>
      <c r="K67" s="244">
        <v>65.0</v>
      </c>
      <c r="L67" s="128" t="s">
        <v>167</v>
      </c>
    </row>
    <row r="68" ht="37.5" customHeight="1">
      <c r="A68" s="238"/>
      <c r="B68" s="114"/>
      <c r="C68" s="239" t="s">
        <v>6600</v>
      </c>
      <c r="D68" s="240">
        <v>29.0</v>
      </c>
      <c r="E68" s="241" t="s">
        <v>6601</v>
      </c>
      <c r="F68" s="242" t="s">
        <v>4643</v>
      </c>
      <c r="G68" s="242" t="s">
        <v>6010</v>
      </c>
      <c r="H68" s="242" t="s">
        <v>6602</v>
      </c>
      <c r="I68" s="243" t="s">
        <v>6603</v>
      </c>
      <c r="J68" s="242" t="s">
        <v>6604</v>
      </c>
      <c r="K68" s="244">
        <v>66.0</v>
      </c>
      <c r="L68" s="128" t="s">
        <v>167</v>
      </c>
    </row>
    <row r="69" ht="37.5" customHeight="1">
      <c r="A69" s="238"/>
      <c r="B69" s="114"/>
      <c r="C69" s="239" t="s">
        <v>6605</v>
      </c>
      <c r="D69" s="240">
        <v>29.0</v>
      </c>
      <c r="E69" s="241" t="s">
        <v>6606</v>
      </c>
      <c r="F69" s="242" t="s">
        <v>4643</v>
      </c>
      <c r="G69" s="242" t="s">
        <v>5308</v>
      </c>
      <c r="H69" s="242" t="s">
        <v>6607</v>
      </c>
      <c r="I69" s="243" t="s">
        <v>6608</v>
      </c>
      <c r="J69" s="242" t="s">
        <v>6609</v>
      </c>
      <c r="K69" s="244">
        <v>67.0</v>
      </c>
      <c r="L69" s="128" t="s">
        <v>167</v>
      </c>
    </row>
    <row r="70" ht="37.5" customHeight="1">
      <c r="A70" s="238"/>
      <c r="B70" s="114"/>
      <c r="C70" s="239" t="s">
        <v>6610</v>
      </c>
      <c r="D70" s="240">
        <v>29.0</v>
      </c>
      <c r="E70" s="241" t="s">
        <v>6611</v>
      </c>
      <c r="F70" s="242" t="s">
        <v>4630</v>
      </c>
      <c r="G70" s="242" t="s">
        <v>5308</v>
      </c>
      <c r="H70" s="242" t="s">
        <v>6612</v>
      </c>
      <c r="I70" s="243" t="s">
        <v>2340</v>
      </c>
      <c r="J70" s="242" t="s">
        <v>6613</v>
      </c>
      <c r="K70" s="244">
        <v>68.0</v>
      </c>
      <c r="L70" s="128" t="s">
        <v>167</v>
      </c>
    </row>
    <row r="71" ht="37.5" customHeight="1">
      <c r="A71" s="238"/>
      <c r="B71" s="114"/>
      <c r="C71" s="239" t="s">
        <v>6614</v>
      </c>
      <c r="D71" s="240">
        <v>29.0</v>
      </c>
      <c r="E71" s="241" t="s">
        <v>6615</v>
      </c>
      <c r="F71" s="242" t="s">
        <v>4643</v>
      </c>
      <c r="G71" s="242" t="s">
        <v>5524</v>
      </c>
      <c r="H71" s="242" t="s">
        <v>6616</v>
      </c>
      <c r="I71" s="243" t="s">
        <v>6617</v>
      </c>
      <c r="J71" s="242" t="s">
        <v>6618</v>
      </c>
      <c r="K71" s="244">
        <v>69.0</v>
      </c>
      <c r="L71" s="128" t="s">
        <v>167</v>
      </c>
    </row>
    <row r="72" ht="37.5" customHeight="1">
      <c r="A72" s="238"/>
      <c r="B72" s="114"/>
      <c r="C72" s="239" t="s">
        <v>6619</v>
      </c>
      <c r="D72" s="240">
        <v>29.0</v>
      </c>
      <c r="E72" s="241" t="s">
        <v>6620</v>
      </c>
      <c r="F72" s="242" t="s">
        <v>4643</v>
      </c>
      <c r="G72" s="242" t="s">
        <v>6010</v>
      </c>
      <c r="H72" s="242" t="s">
        <v>6621</v>
      </c>
      <c r="I72" s="243" t="s">
        <v>6622</v>
      </c>
      <c r="J72" s="242" t="s">
        <v>6623</v>
      </c>
      <c r="K72" s="244">
        <v>70.0</v>
      </c>
      <c r="L72" s="128" t="s">
        <v>167</v>
      </c>
    </row>
    <row r="73" ht="37.5" customHeight="1">
      <c r="A73" s="238"/>
      <c r="B73" s="114"/>
      <c r="C73" s="239" t="s">
        <v>6624</v>
      </c>
      <c r="D73" s="240">
        <v>29.0</v>
      </c>
      <c r="E73" s="241" t="s">
        <v>6625</v>
      </c>
      <c r="F73" s="242" t="s">
        <v>4643</v>
      </c>
      <c r="G73" s="242" t="s">
        <v>5298</v>
      </c>
      <c r="H73" s="242" t="s">
        <v>6626</v>
      </c>
      <c r="I73" s="243" t="s">
        <v>6627</v>
      </c>
      <c r="J73" s="242" t="s">
        <v>6628</v>
      </c>
      <c r="K73" s="244">
        <v>71.0</v>
      </c>
      <c r="L73" s="128" t="s">
        <v>167</v>
      </c>
    </row>
    <row r="74" ht="37.5" customHeight="1">
      <c r="A74" s="238"/>
      <c r="B74" s="114"/>
      <c r="C74" s="239" t="s">
        <v>6629</v>
      </c>
      <c r="D74" s="240">
        <v>29.0</v>
      </c>
      <c r="E74" s="241" t="s">
        <v>6630</v>
      </c>
      <c r="F74" s="242" t="s">
        <v>4643</v>
      </c>
      <c r="G74" s="242" t="s">
        <v>5308</v>
      </c>
      <c r="H74" s="242" t="s">
        <v>6631</v>
      </c>
      <c r="I74" s="243" t="s">
        <v>6632</v>
      </c>
      <c r="J74" s="242" t="s">
        <v>6633</v>
      </c>
      <c r="K74" s="244">
        <v>72.0</v>
      </c>
      <c r="L74" s="128" t="s">
        <v>167</v>
      </c>
    </row>
    <row r="75" ht="37.5" customHeight="1">
      <c r="A75" s="238"/>
      <c r="B75" s="114"/>
      <c r="C75" s="239" t="s">
        <v>6634</v>
      </c>
      <c r="D75" s="240">
        <v>29.0</v>
      </c>
      <c r="E75" s="241" t="s">
        <v>6635</v>
      </c>
      <c r="F75" s="242" t="s">
        <v>4643</v>
      </c>
      <c r="G75" s="242" t="s">
        <v>5298</v>
      </c>
      <c r="H75" s="242" t="s">
        <v>6636</v>
      </c>
      <c r="I75" s="243" t="s">
        <v>6637</v>
      </c>
      <c r="J75" s="242" t="s">
        <v>6638</v>
      </c>
      <c r="K75" s="244">
        <v>73.0</v>
      </c>
      <c r="L75" s="128" t="s">
        <v>167</v>
      </c>
    </row>
    <row r="76" ht="37.5" customHeight="1">
      <c r="A76" s="238"/>
      <c r="B76" s="114"/>
      <c r="C76" s="239" t="s">
        <v>6639</v>
      </c>
      <c r="D76" s="240">
        <v>29.0</v>
      </c>
      <c r="E76" s="241" t="s">
        <v>6640</v>
      </c>
      <c r="F76" s="242" t="s">
        <v>4630</v>
      </c>
      <c r="G76" s="242" t="s">
        <v>6038</v>
      </c>
      <c r="H76" s="242" t="s">
        <v>6641</v>
      </c>
      <c r="I76" s="243" t="s">
        <v>6642</v>
      </c>
      <c r="J76" s="242" t="s">
        <v>6643</v>
      </c>
      <c r="K76" s="244">
        <v>74.0</v>
      </c>
      <c r="L76" s="128" t="s">
        <v>423</v>
      </c>
    </row>
    <row r="77" ht="37.5" customHeight="1">
      <c r="A77" s="238"/>
      <c r="B77" s="114"/>
      <c r="C77" s="239" t="s">
        <v>6644</v>
      </c>
      <c r="D77" s="240">
        <v>29.0</v>
      </c>
      <c r="E77" s="241" t="s">
        <v>6645</v>
      </c>
      <c r="F77" s="242" t="s">
        <v>4630</v>
      </c>
      <c r="G77" s="242" t="s">
        <v>6038</v>
      </c>
      <c r="H77" s="242" t="s">
        <v>6646</v>
      </c>
      <c r="I77" s="243" t="s">
        <v>6647</v>
      </c>
      <c r="J77" s="242" t="s">
        <v>6648</v>
      </c>
      <c r="K77" s="244">
        <v>75.0</v>
      </c>
      <c r="L77" s="128" t="s">
        <v>423</v>
      </c>
    </row>
    <row r="78" ht="37.5" customHeight="1">
      <c r="A78" s="238"/>
      <c r="B78" s="114"/>
      <c r="C78" s="239" t="s">
        <v>6649</v>
      </c>
      <c r="D78" s="240">
        <v>29.0</v>
      </c>
      <c r="E78" s="241" t="s">
        <v>6650</v>
      </c>
      <c r="F78" s="242" t="s">
        <v>4630</v>
      </c>
      <c r="G78" s="242" t="s">
        <v>6038</v>
      </c>
      <c r="H78" s="242" t="s">
        <v>6651</v>
      </c>
      <c r="I78" s="243" t="s">
        <v>6652</v>
      </c>
      <c r="J78" s="242" t="s">
        <v>6653</v>
      </c>
      <c r="K78" s="244">
        <v>76.0</v>
      </c>
      <c r="L78" s="128" t="s">
        <v>423</v>
      </c>
    </row>
    <row r="79" ht="37.5" customHeight="1">
      <c r="A79" s="238"/>
      <c r="B79" s="114"/>
      <c r="C79" s="239" t="s">
        <v>6654</v>
      </c>
      <c r="D79" s="240">
        <v>29.0</v>
      </c>
      <c r="E79" s="241" t="s">
        <v>6655</v>
      </c>
      <c r="F79" s="242" t="s">
        <v>4630</v>
      </c>
      <c r="G79" s="242" t="s">
        <v>6038</v>
      </c>
      <c r="H79" s="242" t="s">
        <v>6656</v>
      </c>
      <c r="I79" s="243" t="s">
        <v>6657</v>
      </c>
      <c r="J79" s="242" t="s">
        <v>6658</v>
      </c>
      <c r="K79" s="244">
        <v>77.0</v>
      </c>
      <c r="L79" s="128" t="s">
        <v>423</v>
      </c>
    </row>
    <row r="80" ht="37.5" customHeight="1">
      <c r="A80" s="238"/>
      <c r="B80" s="114"/>
      <c r="C80" s="239" t="s">
        <v>6659</v>
      </c>
      <c r="D80" s="240">
        <v>29.0</v>
      </c>
      <c r="E80" s="241" t="s">
        <v>6660</v>
      </c>
      <c r="F80" s="242" t="s">
        <v>4630</v>
      </c>
      <c r="G80" s="242" t="s">
        <v>6038</v>
      </c>
      <c r="H80" s="242" t="s">
        <v>6661</v>
      </c>
      <c r="I80" s="243" t="s">
        <v>6662</v>
      </c>
      <c r="J80" s="242" t="s">
        <v>6663</v>
      </c>
      <c r="K80" s="244">
        <v>78.0</v>
      </c>
      <c r="L80" s="128" t="s">
        <v>423</v>
      </c>
    </row>
    <row r="81" ht="37.5" customHeight="1">
      <c r="A81" s="238"/>
      <c r="B81" s="114"/>
      <c r="C81" s="239" t="s">
        <v>6664</v>
      </c>
      <c r="D81" s="240">
        <v>29.0</v>
      </c>
      <c r="E81" s="241" t="s">
        <v>6665</v>
      </c>
      <c r="F81" s="242" t="s">
        <v>4630</v>
      </c>
      <c r="G81" s="242" t="s">
        <v>6038</v>
      </c>
      <c r="H81" s="242" t="s">
        <v>6666</v>
      </c>
      <c r="I81" s="243" t="s">
        <v>6667</v>
      </c>
      <c r="J81" s="242" t="s">
        <v>6668</v>
      </c>
      <c r="K81" s="244">
        <v>79.0</v>
      </c>
      <c r="L81" s="128" t="s">
        <v>423</v>
      </c>
    </row>
    <row r="82" ht="37.5" customHeight="1">
      <c r="A82" s="238"/>
      <c r="B82" s="114"/>
      <c r="C82" s="239" t="s">
        <v>6669</v>
      </c>
      <c r="D82" s="240">
        <v>29.0</v>
      </c>
      <c r="E82" s="241" t="s">
        <v>6670</v>
      </c>
      <c r="F82" s="242" t="s">
        <v>4643</v>
      </c>
      <c r="G82" s="242" t="s">
        <v>5308</v>
      </c>
      <c r="H82" s="242" t="s">
        <v>6671</v>
      </c>
      <c r="I82" s="243" t="s">
        <v>6672</v>
      </c>
      <c r="J82" s="242" t="s">
        <v>6673</v>
      </c>
      <c r="K82" s="244">
        <v>80.0</v>
      </c>
      <c r="L82" s="128" t="s">
        <v>423</v>
      </c>
    </row>
    <row r="83" ht="37.5" customHeight="1">
      <c r="A83" s="238"/>
      <c r="B83" s="114"/>
      <c r="C83" s="239" t="s">
        <v>6674</v>
      </c>
      <c r="D83" s="240">
        <v>29.0</v>
      </c>
      <c r="E83" s="241" t="s">
        <v>6675</v>
      </c>
      <c r="F83" s="242" t="s">
        <v>4630</v>
      </c>
      <c r="G83" s="242" t="s">
        <v>6038</v>
      </c>
      <c r="H83" s="242" t="s">
        <v>6676</v>
      </c>
      <c r="I83" s="243" t="s">
        <v>6677</v>
      </c>
      <c r="J83" s="242" t="s">
        <v>6678</v>
      </c>
      <c r="K83" s="244">
        <v>81.0</v>
      </c>
      <c r="L83" s="128" t="s">
        <v>423</v>
      </c>
    </row>
    <row r="84" ht="37.5" customHeight="1">
      <c r="A84" s="233"/>
      <c r="B84" s="114" t="s">
        <v>4653</v>
      </c>
      <c r="C84" s="239" t="s">
        <v>6679</v>
      </c>
      <c r="D84" s="240">
        <v>27.0</v>
      </c>
      <c r="E84" s="241" t="s">
        <v>6680</v>
      </c>
      <c r="F84" s="242" t="s">
        <v>4630</v>
      </c>
      <c r="G84" s="242" t="s">
        <v>6038</v>
      </c>
      <c r="H84" s="243" t="s">
        <v>6681</v>
      </c>
      <c r="I84" s="243" t="s">
        <v>6682</v>
      </c>
      <c r="J84" s="242" t="s">
        <v>6683</v>
      </c>
      <c r="K84" s="244">
        <v>82.0</v>
      </c>
      <c r="L84" s="128" t="s">
        <v>423</v>
      </c>
    </row>
    <row r="85" ht="37.5" customHeight="1">
      <c r="A85" s="238"/>
      <c r="B85" s="114"/>
      <c r="C85" s="239" t="s">
        <v>6684</v>
      </c>
      <c r="D85" s="240">
        <v>29.0</v>
      </c>
      <c r="E85" s="241" t="s">
        <v>6685</v>
      </c>
      <c r="F85" s="242" t="s">
        <v>4630</v>
      </c>
      <c r="G85" s="242" t="s">
        <v>6038</v>
      </c>
      <c r="H85" s="242" t="s">
        <v>6686</v>
      </c>
      <c r="I85" s="243" t="s">
        <v>6687</v>
      </c>
      <c r="J85" s="242" t="s">
        <v>6688</v>
      </c>
      <c r="K85" s="244">
        <v>83.0</v>
      </c>
      <c r="L85" s="128" t="s">
        <v>423</v>
      </c>
    </row>
    <row r="86" ht="37.5" customHeight="1">
      <c r="A86" s="233"/>
      <c r="B86" s="114"/>
      <c r="C86" s="239" t="s">
        <v>6689</v>
      </c>
      <c r="D86" s="240">
        <v>28.0</v>
      </c>
      <c r="E86" s="241" t="s">
        <v>6690</v>
      </c>
      <c r="F86" s="242" t="s">
        <v>4630</v>
      </c>
      <c r="G86" s="242" t="s">
        <v>6038</v>
      </c>
      <c r="H86" s="242" t="s">
        <v>6691</v>
      </c>
      <c r="I86" s="242" t="s">
        <v>6692</v>
      </c>
      <c r="J86" s="242" t="s">
        <v>6693</v>
      </c>
      <c r="K86" s="244">
        <v>84.0</v>
      </c>
      <c r="L86" s="128" t="s">
        <v>423</v>
      </c>
    </row>
    <row r="87" ht="37.5" customHeight="1">
      <c r="A87" s="233"/>
      <c r="B87" s="114" t="s">
        <v>4704</v>
      </c>
      <c r="C87" s="239" t="s">
        <v>6694</v>
      </c>
      <c r="D87" s="240">
        <v>27.0</v>
      </c>
      <c r="E87" s="241" t="s">
        <v>6695</v>
      </c>
      <c r="F87" s="242" t="s">
        <v>4630</v>
      </c>
      <c r="G87" s="242" t="s">
        <v>6038</v>
      </c>
      <c r="H87" s="242" t="s">
        <v>6696</v>
      </c>
      <c r="I87" s="243" t="s">
        <v>6697</v>
      </c>
      <c r="J87" s="242" t="s">
        <v>6698</v>
      </c>
      <c r="K87" s="244">
        <v>85.0</v>
      </c>
      <c r="L87" s="128" t="s">
        <v>423</v>
      </c>
    </row>
    <row r="88" ht="37.5" customHeight="1">
      <c r="A88" s="238"/>
      <c r="B88" s="114"/>
      <c r="C88" s="239" t="s">
        <v>6699</v>
      </c>
      <c r="D88" s="240">
        <v>29.0</v>
      </c>
      <c r="E88" s="241" t="s">
        <v>6700</v>
      </c>
      <c r="F88" s="242" t="s">
        <v>4630</v>
      </c>
      <c r="G88" s="242" t="s">
        <v>6038</v>
      </c>
      <c r="H88" s="242" t="s">
        <v>6701</v>
      </c>
      <c r="I88" s="243" t="s">
        <v>6702</v>
      </c>
      <c r="J88" s="242" t="s">
        <v>6703</v>
      </c>
      <c r="K88" s="244">
        <v>86.0</v>
      </c>
      <c r="L88" s="128" t="s">
        <v>423</v>
      </c>
    </row>
    <row r="89" ht="37.5" customHeight="1">
      <c r="A89" s="236"/>
      <c r="B89" s="245"/>
      <c r="C89" s="241" t="s">
        <v>6704</v>
      </c>
      <c r="D89" s="240">
        <v>28.0</v>
      </c>
      <c r="E89" s="241" t="s">
        <v>6705</v>
      </c>
      <c r="F89" s="242" t="s">
        <v>4643</v>
      </c>
      <c r="G89" s="242" t="s">
        <v>6706</v>
      </c>
      <c r="H89" s="242" t="s">
        <v>6707</v>
      </c>
      <c r="I89" s="242" t="s">
        <v>6708</v>
      </c>
      <c r="J89" s="242" t="s">
        <v>6709</v>
      </c>
      <c r="K89" s="244">
        <v>87.0</v>
      </c>
      <c r="L89" s="246" t="s">
        <v>423</v>
      </c>
    </row>
    <row r="90" ht="37.5" customHeight="1">
      <c r="A90" s="233"/>
      <c r="B90" s="114" t="s">
        <v>4711</v>
      </c>
      <c r="C90" s="239" t="s">
        <v>6710</v>
      </c>
      <c r="D90" s="240">
        <v>27.0</v>
      </c>
      <c r="E90" s="241" t="s">
        <v>6711</v>
      </c>
      <c r="F90" s="242" t="s">
        <v>4630</v>
      </c>
      <c r="G90" s="242" t="s">
        <v>6038</v>
      </c>
      <c r="H90" s="243" t="s">
        <v>6712</v>
      </c>
      <c r="I90" s="243" t="s">
        <v>6713</v>
      </c>
      <c r="J90" s="242" t="s">
        <v>6714</v>
      </c>
      <c r="K90" s="244">
        <v>88.0</v>
      </c>
      <c r="L90" s="128" t="s">
        <v>423</v>
      </c>
    </row>
    <row r="91" ht="37.5" customHeight="1">
      <c r="A91" s="238"/>
      <c r="B91" s="114"/>
      <c r="C91" s="239" t="s">
        <v>6715</v>
      </c>
      <c r="D91" s="240">
        <v>29.0</v>
      </c>
      <c r="E91" s="241" t="s">
        <v>6716</v>
      </c>
      <c r="F91" s="242" t="s">
        <v>4630</v>
      </c>
      <c r="G91" s="242" t="s">
        <v>5792</v>
      </c>
      <c r="H91" s="242" t="s">
        <v>6717</v>
      </c>
      <c r="I91" s="243" t="s">
        <v>6718</v>
      </c>
      <c r="J91" s="242" t="s">
        <v>6719</v>
      </c>
      <c r="K91" s="244">
        <v>89.0</v>
      </c>
      <c r="L91" s="128" t="s">
        <v>423</v>
      </c>
    </row>
    <row r="92" ht="37.5" customHeight="1">
      <c r="A92" s="233"/>
      <c r="B92" s="114"/>
      <c r="C92" s="239" t="s">
        <v>6720</v>
      </c>
      <c r="D92" s="240">
        <v>28.0</v>
      </c>
      <c r="E92" s="241" t="s">
        <v>6721</v>
      </c>
      <c r="F92" s="242" t="s">
        <v>4630</v>
      </c>
      <c r="G92" s="242" t="s">
        <v>6038</v>
      </c>
      <c r="H92" s="242" t="s">
        <v>6375</v>
      </c>
      <c r="I92" s="242" t="s">
        <v>6722</v>
      </c>
      <c r="J92" s="242" t="s">
        <v>6723</v>
      </c>
      <c r="K92" s="244">
        <v>90.0</v>
      </c>
      <c r="L92" s="128" t="s">
        <v>423</v>
      </c>
    </row>
    <row r="93" ht="37.5" customHeight="1">
      <c r="A93" s="233"/>
      <c r="B93" s="114" t="s">
        <v>4735</v>
      </c>
      <c r="C93" s="239" t="s">
        <v>6724</v>
      </c>
      <c r="D93" s="240">
        <v>27.0</v>
      </c>
      <c r="E93" s="241" t="s">
        <v>6725</v>
      </c>
      <c r="F93" s="242" t="s">
        <v>4630</v>
      </c>
      <c r="G93" s="242" t="s">
        <v>5256</v>
      </c>
      <c r="H93" s="242" t="s">
        <v>6430</v>
      </c>
      <c r="I93" s="243" t="s">
        <v>6726</v>
      </c>
      <c r="J93" s="242" t="s">
        <v>6727</v>
      </c>
      <c r="K93" s="244">
        <v>91.0</v>
      </c>
      <c r="L93" s="128" t="s">
        <v>423</v>
      </c>
    </row>
    <row r="94" ht="37.5" customHeight="1">
      <c r="A94" s="236"/>
      <c r="B94" s="245"/>
      <c r="C94" s="241" t="s">
        <v>6728</v>
      </c>
      <c r="D94" s="240">
        <v>28.0</v>
      </c>
      <c r="E94" s="241" t="s">
        <v>6729</v>
      </c>
      <c r="F94" s="242" t="s">
        <v>4643</v>
      </c>
      <c r="G94" s="242" t="s">
        <v>5792</v>
      </c>
      <c r="H94" s="242" t="s">
        <v>6730</v>
      </c>
      <c r="I94" s="242" t="s">
        <v>6731</v>
      </c>
      <c r="J94" s="242" t="s">
        <v>6732</v>
      </c>
      <c r="K94" s="244">
        <v>92.0</v>
      </c>
      <c r="L94" s="128" t="s">
        <v>423</v>
      </c>
    </row>
    <row r="95" ht="37.5" customHeight="1">
      <c r="A95" s="238"/>
      <c r="B95" s="114"/>
      <c r="C95" s="239" t="s">
        <v>6733</v>
      </c>
      <c r="D95" s="240">
        <v>29.0</v>
      </c>
      <c r="E95" s="241" t="s">
        <v>6734</v>
      </c>
      <c r="F95" s="242" t="s">
        <v>4643</v>
      </c>
      <c r="G95" s="242" t="s">
        <v>5792</v>
      </c>
      <c r="H95" s="242" t="s">
        <v>6400</v>
      </c>
      <c r="I95" s="243" t="s">
        <v>6735</v>
      </c>
      <c r="J95" s="242" t="s">
        <v>6736</v>
      </c>
      <c r="K95" s="244">
        <v>93.0</v>
      </c>
      <c r="L95" s="128" t="s">
        <v>423</v>
      </c>
    </row>
    <row r="96" ht="37.5" customHeight="1">
      <c r="A96" s="233"/>
      <c r="B96" s="114"/>
      <c r="C96" s="239" t="s">
        <v>6737</v>
      </c>
      <c r="D96" s="240">
        <v>28.0</v>
      </c>
      <c r="E96" s="241" t="s">
        <v>6738</v>
      </c>
      <c r="F96" s="242" t="s">
        <v>4630</v>
      </c>
      <c r="G96" s="242" t="s">
        <v>5792</v>
      </c>
      <c r="H96" s="242" t="s">
        <v>6739</v>
      </c>
      <c r="I96" s="242" t="s">
        <v>6740</v>
      </c>
      <c r="J96" s="242" t="s">
        <v>6741</v>
      </c>
      <c r="K96" s="244">
        <v>94.0</v>
      </c>
      <c r="L96" s="128" t="s">
        <v>447</v>
      </c>
    </row>
    <row r="97" ht="37.5" customHeight="1">
      <c r="A97" s="238"/>
      <c r="B97" s="114"/>
      <c r="C97" s="239" t="s">
        <v>6742</v>
      </c>
      <c r="D97" s="240">
        <v>29.0</v>
      </c>
      <c r="E97" s="241" t="s">
        <v>6743</v>
      </c>
      <c r="F97" s="242" t="s">
        <v>4630</v>
      </c>
      <c r="G97" s="242" t="s">
        <v>5792</v>
      </c>
      <c r="H97" s="242" t="s">
        <v>6744</v>
      </c>
      <c r="I97" s="243" t="s">
        <v>6745</v>
      </c>
      <c r="J97" s="242" t="s">
        <v>6741</v>
      </c>
      <c r="K97" s="244">
        <v>95.0</v>
      </c>
      <c r="L97" s="128" t="s">
        <v>447</v>
      </c>
    </row>
    <row r="98" ht="37.5" customHeight="1">
      <c r="A98" s="233"/>
      <c r="B98" s="114" t="s">
        <v>4716</v>
      </c>
      <c r="C98" s="239" t="s">
        <v>6746</v>
      </c>
      <c r="D98" s="240">
        <v>27.0</v>
      </c>
      <c r="E98" s="241" t="s">
        <v>6747</v>
      </c>
      <c r="F98" s="242" t="s">
        <v>4643</v>
      </c>
      <c r="G98" s="242" t="s">
        <v>6038</v>
      </c>
      <c r="H98" s="243" t="s">
        <v>6748</v>
      </c>
      <c r="I98" s="243" t="s">
        <v>6749</v>
      </c>
      <c r="J98" s="242" t="s">
        <v>6741</v>
      </c>
      <c r="K98" s="244">
        <v>96.0</v>
      </c>
      <c r="L98" s="128" t="s">
        <v>447</v>
      </c>
    </row>
    <row r="99" ht="37.5" customHeight="1">
      <c r="A99" s="236"/>
      <c r="B99" s="245"/>
      <c r="C99" s="241" t="s">
        <v>6750</v>
      </c>
      <c r="D99" s="240">
        <v>28.0</v>
      </c>
      <c r="E99" s="241" t="s">
        <v>6751</v>
      </c>
      <c r="F99" s="242" t="s">
        <v>4643</v>
      </c>
      <c r="G99" s="242" t="s">
        <v>5792</v>
      </c>
      <c r="H99" s="242" t="s">
        <v>6752</v>
      </c>
      <c r="I99" s="242" t="s">
        <v>6753</v>
      </c>
      <c r="J99" s="242" t="s">
        <v>6741</v>
      </c>
      <c r="K99" s="244">
        <v>97.0</v>
      </c>
      <c r="L99" s="128" t="s">
        <v>447</v>
      </c>
    </row>
    <row r="100" ht="37.5" customHeight="1">
      <c r="A100" s="233"/>
      <c r="B100" s="114" t="s">
        <v>4730</v>
      </c>
      <c r="C100" s="239" t="s">
        <v>6754</v>
      </c>
      <c r="D100" s="240">
        <v>27.0</v>
      </c>
      <c r="E100" s="241" t="s">
        <v>6755</v>
      </c>
      <c r="F100" s="242" t="s">
        <v>4643</v>
      </c>
      <c r="G100" s="242" t="s">
        <v>5792</v>
      </c>
      <c r="H100" s="243" t="s">
        <v>6696</v>
      </c>
      <c r="I100" s="243" t="s">
        <v>6756</v>
      </c>
      <c r="J100" s="242" t="s">
        <v>6757</v>
      </c>
      <c r="K100" s="244">
        <v>98.0</v>
      </c>
      <c r="L100" s="128" t="s">
        <v>447</v>
      </c>
    </row>
    <row r="101" ht="37.5" customHeight="1">
      <c r="A101" s="238"/>
      <c r="B101" s="114"/>
      <c r="C101" s="239" t="s">
        <v>6758</v>
      </c>
      <c r="D101" s="240">
        <v>29.0</v>
      </c>
      <c r="E101" s="241" t="s">
        <v>6759</v>
      </c>
      <c r="F101" s="242" t="s">
        <v>4643</v>
      </c>
      <c r="G101" s="242" t="s">
        <v>5792</v>
      </c>
      <c r="H101" s="242" t="s">
        <v>6696</v>
      </c>
      <c r="I101" s="243" t="s">
        <v>6760</v>
      </c>
      <c r="J101" s="242" t="s">
        <v>6757</v>
      </c>
      <c r="K101" s="244">
        <v>99.0</v>
      </c>
      <c r="L101" s="128" t="s">
        <v>447</v>
      </c>
    </row>
    <row r="102" ht="37.5" customHeight="1">
      <c r="A102" s="233"/>
      <c r="B102" s="114"/>
      <c r="C102" s="239" t="s">
        <v>6761</v>
      </c>
      <c r="D102" s="240">
        <v>28.0</v>
      </c>
      <c r="E102" s="241" t="s">
        <v>6762</v>
      </c>
      <c r="F102" s="242" t="s">
        <v>4630</v>
      </c>
      <c r="G102" s="242" t="s">
        <v>5792</v>
      </c>
      <c r="H102" s="242" t="s">
        <v>6597</v>
      </c>
      <c r="I102" s="242" t="s">
        <v>6763</v>
      </c>
      <c r="J102" s="242" t="s">
        <v>6757</v>
      </c>
      <c r="K102" s="244">
        <v>100.0</v>
      </c>
      <c r="L102" s="128" t="s">
        <v>447</v>
      </c>
    </row>
    <row r="103" ht="37.5" customHeight="1">
      <c r="A103" s="236"/>
      <c r="B103" s="245"/>
      <c r="C103" s="241" t="s">
        <v>6764</v>
      </c>
      <c r="D103" s="240">
        <v>28.0</v>
      </c>
      <c r="E103" s="241" t="s">
        <v>6765</v>
      </c>
      <c r="F103" s="242" t="s">
        <v>4643</v>
      </c>
      <c r="G103" s="242" t="s">
        <v>5792</v>
      </c>
      <c r="H103" s="242" t="s">
        <v>6766</v>
      </c>
      <c r="I103" s="242" t="s">
        <v>6767</v>
      </c>
      <c r="J103" s="242" t="s">
        <v>6757</v>
      </c>
      <c r="K103" s="244">
        <v>101.0</v>
      </c>
      <c r="L103" s="246" t="s">
        <v>447</v>
      </c>
    </row>
    <row r="104" ht="37.5" customHeight="1">
      <c r="A104" s="238"/>
      <c r="B104" s="114"/>
      <c r="C104" s="239" t="s">
        <v>6768</v>
      </c>
      <c r="D104" s="240">
        <v>29.0</v>
      </c>
      <c r="E104" s="241" t="s">
        <v>6769</v>
      </c>
      <c r="F104" s="242" t="s">
        <v>4630</v>
      </c>
      <c r="G104" s="242" t="s">
        <v>6010</v>
      </c>
      <c r="H104" s="242" t="s">
        <v>6770</v>
      </c>
      <c r="I104" s="243" t="s">
        <v>6771</v>
      </c>
      <c r="J104" s="242" t="s">
        <v>6772</v>
      </c>
      <c r="K104" s="244"/>
      <c r="L104" s="128"/>
    </row>
    <row r="105" ht="37.5" customHeight="1">
      <c r="A105" s="238"/>
      <c r="B105" s="114"/>
      <c r="C105" s="239" t="s">
        <v>6773</v>
      </c>
      <c r="D105" s="240">
        <v>29.0</v>
      </c>
      <c r="E105" s="241" t="s">
        <v>6774</v>
      </c>
      <c r="F105" s="242" t="s">
        <v>4643</v>
      </c>
      <c r="G105" s="242" t="s">
        <v>5524</v>
      </c>
      <c r="H105" s="242" t="s">
        <v>6775</v>
      </c>
      <c r="I105" s="243" t="s">
        <v>6776</v>
      </c>
      <c r="J105" s="242" t="s">
        <v>6777</v>
      </c>
      <c r="K105" s="244"/>
      <c r="L105" s="128"/>
    </row>
    <row r="106" ht="37.5" customHeight="1">
      <c r="A106" s="238"/>
      <c r="B106" s="114"/>
      <c r="C106" s="239" t="s">
        <v>6778</v>
      </c>
      <c r="D106" s="240">
        <v>29.0</v>
      </c>
      <c r="E106" s="241" t="s">
        <v>6779</v>
      </c>
      <c r="F106" s="242" t="s">
        <v>4630</v>
      </c>
      <c r="G106" s="242" t="s">
        <v>6010</v>
      </c>
      <c r="H106" s="242" t="s">
        <v>6780</v>
      </c>
      <c r="I106" s="247" t="s">
        <v>6781</v>
      </c>
      <c r="J106" s="242" t="s">
        <v>6772</v>
      </c>
      <c r="K106" s="244"/>
      <c r="L106" s="128"/>
    </row>
    <row r="107" ht="37.5" customHeight="1">
      <c r="A107" s="238"/>
      <c r="B107" s="114"/>
      <c r="C107" s="239" t="s">
        <v>6782</v>
      </c>
      <c r="D107" s="240">
        <v>29.0</v>
      </c>
      <c r="E107" s="241" t="s">
        <v>6783</v>
      </c>
      <c r="F107" s="242" t="s">
        <v>4643</v>
      </c>
      <c r="G107" s="242" t="s">
        <v>6212</v>
      </c>
      <c r="H107" s="242" t="s">
        <v>6784</v>
      </c>
      <c r="I107" s="243" t="s">
        <v>6785</v>
      </c>
      <c r="J107" s="242" t="s">
        <v>6786</v>
      </c>
      <c r="K107" s="244"/>
      <c r="L107" s="128"/>
    </row>
    <row r="108" ht="37.5" customHeight="1">
      <c r="A108" s="238"/>
      <c r="B108" s="114"/>
      <c r="C108" s="239" t="s">
        <v>6787</v>
      </c>
      <c r="D108" s="240">
        <v>29.0</v>
      </c>
      <c r="E108" s="241" t="s">
        <v>6788</v>
      </c>
      <c r="F108" s="242" t="s">
        <v>4630</v>
      </c>
      <c r="G108" s="242" t="s">
        <v>6145</v>
      </c>
      <c r="H108" s="242" t="s">
        <v>6400</v>
      </c>
      <c r="I108" s="243" t="s">
        <v>6789</v>
      </c>
      <c r="J108" s="242" t="s">
        <v>6786</v>
      </c>
      <c r="K108" s="244"/>
      <c r="L108" s="128"/>
    </row>
    <row r="109" ht="37.5" customHeight="1">
      <c r="A109" s="238"/>
      <c r="B109" s="114"/>
      <c r="C109" s="239" t="s">
        <v>6790</v>
      </c>
      <c r="D109" s="240">
        <v>29.0</v>
      </c>
      <c r="E109" s="241" t="s">
        <v>6791</v>
      </c>
      <c r="F109" s="242" t="s">
        <v>4643</v>
      </c>
      <c r="G109" s="242" t="s">
        <v>5298</v>
      </c>
      <c r="H109" s="242" t="s">
        <v>6792</v>
      </c>
      <c r="I109" s="243" t="s">
        <v>6793</v>
      </c>
      <c r="J109" s="242" t="s">
        <v>6786</v>
      </c>
      <c r="K109" s="244"/>
      <c r="L109" s="128"/>
    </row>
    <row r="110" ht="37.5" customHeight="1">
      <c r="A110" s="238"/>
      <c r="B110" s="114"/>
      <c r="C110" s="239" t="s">
        <v>6794</v>
      </c>
      <c r="D110" s="240">
        <v>29.0</v>
      </c>
      <c r="E110" s="241" t="s">
        <v>6795</v>
      </c>
      <c r="F110" s="242" t="s">
        <v>4643</v>
      </c>
      <c r="G110" s="242" t="s">
        <v>6796</v>
      </c>
      <c r="H110" s="242" t="s">
        <v>6797</v>
      </c>
      <c r="I110" s="243" t="s">
        <v>6798</v>
      </c>
      <c r="J110" s="242" t="s">
        <v>6786</v>
      </c>
      <c r="K110" s="244"/>
      <c r="L110" s="128"/>
    </row>
    <row r="111" ht="37.5" customHeight="1">
      <c r="A111" s="238"/>
      <c r="B111" s="114"/>
      <c r="C111" s="239" t="s">
        <v>6799</v>
      </c>
      <c r="D111" s="240">
        <v>29.0</v>
      </c>
      <c r="E111" s="241" t="s">
        <v>6800</v>
      </c>
      <c r="F111" s="242" t="s">
        <v>4643</v>
      </c>
      <c r="G111" s="242" t="s">
        <v>6801</v>
      </c>
      <c r="H111" s="242" t="s">
        <v>6802</v>
      </c>
      <c r="I111" s="243" t="s">
        <v>6803</v>
      </c>
      <c r="J111" s="242" t="s">
        <v>6804</v>
      </c>
      <c r="K111" s="244"/>
      <c r="L111" s="128"/>
    </row>
    <row r="112" ht="37.5" customHeight="1">
      <c r="A112" s="238"/>
      <c r="B112" s="114"/>
      <c r="C112" s="239" t="s">
        <v>6805</v>
      </c>
      <c r="D112" s="240">
        <v>29.0</v>
      </c>
      <c r="E112" s="241" t="s">
        <v>6806</v>
      </c>
      <c r="F112" s="242" t="s">
        <v>4643</v>
      </c>
      <c r="G112" s="242" t="s">
        <v>6010</v>
      </c>
      <c r="H112" s="242" t="s">
        <v>6807</v>
      </c>
      <c r="I112" s="243" t="s">
        <v>6808</v>
      </c>
      <c r="J112" s="242" t="s">
        <v>6786</v>
      </c>
      <c r="K112" s="244"/>
      <c r="L112" s="128"/>
    </row>
    <row r="113" ht="37.5" customHeight="1">
      <c r="A113" s="238"/>
      <c r="B113" s="114"/>
      <c r="C113" s="239" t="s">
        <v>6809</v>
      </c>
      <c r="D113" s="240">
        <v>29.0</v>
      </c>
      <c r="E113" s="241" t="s">
        <v>6810</v>
      </c>
      <c r="F113" s="242" t="s">
        <v>4630</v>
      </c>
      <c r="G113" s="242" t="s">
        <v>6010</v>
      </c>
      <c r="H113" s="242" t="s">
        <v>6811</v>
      </c>
      <c r="I113" s="243" t="s">
        <v>6812</v>
      </c>
      <c r="J113" s="242" t="s">
        <v>6786</v>
      </c>
      <c r="K113" s="244"/>
      <c r="L113" s="128"/>
    </row>
    <row r="114" ht="37.5" customHeight="1">
      <c r="A114" s="238"/>
      <c r="B114" s="114"/>
      <c r="C114" s="239" t="s">
        <v>6813</v>
      </c>
      <c r="D114" s="240">
        <v>29.0</v>
      </c>
      <c r="E114" s="241" t="s">
        <v>6814</v>
      </c>
      <c r="F114" s="242" t="s">
        <v>4643</v>
      </c>
      <c r="G114" s="242" t="s">
        <v>6145</v>
      </c>
      <c r="H114" s="242" t="s">
        <v>6815</v>
      </c>
      <c r="I114" s="243" t="s">
        <v>6816</v>
      </c>
      <c r="J114" s="242" t="s">
        <v>6786</v>
      </c>
      <c r="K114" s="244"/>
      <c r="L114" s="128"/>
    </row>
  </sheetData>
  <autoFilter ref="$A$2:$L$114">
    <sortState ref="A2:L114">
      <sortCondition ref="K2:K114"/>
      <sortCondition ref="C2:C114"/>
      <sortCondition ref="F2:F114"/>
    </sortState>
  </autoFilter>
  <mergeCells count="2">
    <mergeCell ref="A1:I1"/>
    <mergeCell ref="J1:L1"/>
  </mergeCells>
  <conditionalFormatting sqref="C71:D71">
    <cfRule type="expression" dxfId="26" priority="1">
      <formula>$D71=MAX($D23:$D114)</formula>
    </cfRule>
  </conditionalFormatting>
  <conditionalFormatting sqref="C15:D15">
    <cfRule type="expression" dxfId="26" priority="2">
      <formula>$D15=MAX($D22:$D114)</formula>
    </cfRule>
  </conditionalFormatting>
  <conditionalFormatting sqref="C24:D24">
    <cfRule type="expression" dxfId="26" priority="3">
      <formula>$D24=MAX($D21:$D114)</formula>
    </cfRule>
  </conditionalFormatting>
  <conditionalFormatting sqref="C22:D22">
    <cfRule type="expression" dxfId="26" priority="4">
      <formula>$D22=MAX($D20:$D114)</formula>
    </cfRule>
  </conditionalFormatting>
  <conditionalFormatting sqref="C42:D42">
    <cfRule type="expression" dxfId="26" priority="5">
      <formula>$D42=MAX($D19:$D114)</formula>
    </cfRule>
  </conditionalFormatting>
  <conditionalFormatting sqref="C58:D58">
    <cfRule type="expression" dxfId="26" priority="6">
      <formula>$D58=MAX($D20:$D114)</formula>
    </cfRule>
  </conditionalFormatting>
  <conditionalFormatting sqref="C35:D35">
    <cfRule type="expression" dxfId="26" priority="7">
      <formula>$D35=MAX($D19:$D114)</formula>
    </cfRule>
  </conditionalFormatting>
  <conditionalFormatting sqref="C12:D12">
    <cfRule type="expression" dxfId="26" priority="8">
      <formula>$D12=MAX($D18:$D114)</formula>
    </cfRule>
  </conditionalFormatting>
  <conditionalFormatting sqref="C64:D64">
    <cfRule type="expression" dxfId="26" priority="9">
      <formula>$D64=MAX($D49:$D114)</formula>
    </cfRule>
  </conditionalFormatting>
  <conditionalFormatting sqref="C72:D72">
    <cfRule type="expression" dxfId="26" priority="10">
      <formula>$D72=MAX($D49:$D114)</formula>
    </cfRule>
  </conditionalFormatting>
  <conditionalFormatting sqref="C70:D70">
    <cfRule type="expression" dxfId="26" priority="11">
      <formula>$D70=MAX($D49:$D114)</formula>
    </cfRule>
  </conditionalFormatting>
  <conditionalFormatting sqref="C69:D69">
    <cfRule type="expression" dxfId="26" priority="12">
      <formula>$D69=MAX($D49:$D114)</formula>
    </cfRule>
  </conditionalFormatting>
  <conditionalFormatting sqref="C65:D65">
    <cfRule type="expression" dxfId="26" priority="13">
      <formula>$D65=MAX($D49:$D114)</formula>
    </cfRule>
  </conditionalFormatting>
  <conditionalFormatting sqref="C59:D59">
    <cfRule type="expression" dxfId="26" priority="14">
      <formula>$D59=MAX($D49:$D114)</formula>
    </cfRule>
  </conditionalFormatting>
  <conditionalFormatting sqref="C44:D44">
    <cfRule type="expression" dxfId="26" priority="15">
      <formula>$D44=MAX($D50:$D114)</formula>
    </cfRule>
  </conditionalFormatting>
  <conditionalFormatting sqref="C11:D11">
    <cfRule type="expression" dxfId="26" priority="16">
      <formula>$D11=MAX($D50:$D114)</formula>
    </cfRule>
  </conditionalFormatting>
  <conditionalFormatting sqref="C51:D51">
    <cfRule type="expression" dxfId="26" priority="17">
      <formula>$D51=MAX($D49:$D114)</formula>
    </cfRule>
  </conditionalFormatting>
  <conditionalFormatting sqref="C68:D68">
    <cfRule type="expression" dxfId="26" priority="18">
      <formula>$D68=MAX($D50:$D114)</formula>
    </cfRule>
  </conditionalFormatting>
  <conditionalFormatting sqref="C19:D19">
    <cfRule type="expression" dxfId="26" priority="19">
      <formula>$D19=MAX($D47:$D114)</formula>
    </cfRule>
  </conditionalFormatting>
  <conditionalFormatting sqref="C8:D8">
    <cfRule type="expression" dxfId="26" priority="20">
      <formula>$D8=MAX($D46:$D114)</formula>
    </cfRule>
  </conditionalFormatting>
  <conditionalFormatting sqref="C13:D13">
    <cfRule type="expression" dxfId="26" priority="21">
      <formula>$D13=MAX($D45:$D114)</formula>
    </cfRule>
  </conditionalFormatting>
  <conditionalFormatting sqref="C28:D28">
    <cfRule type="expression" dxfId="26" priority="22">
      <formula>$D28=MAX($D45:$D114)</formula>
    </cfRule>
  </conditionalFormatting>
  <conditionalFormatting sqref="C95:D95">
    <cfRule type="expression" dxfId="26" priority="23">
      <formula>$D95=MAX($D45:$D114)</formula>
    </cfRule>
  </conditionalFormatting>
  <conditionalFormatting sqref="C97:D97">
    <cfRule type="expression" dxfId="26" priority="24">
      <formula>$D97=MAX($D45:$D114)</formula>
    </cfRule>
  </conditionalFormatting>
  <conditionalFormatting sqref="C9:D9">
    <cfRule type="expression" dxfId="26" priority="25">
      <formula>$D9=MAX($D45:$D114)</formula>
    </cfRule>
  </conditionalFormatting>
  <conditionalFormatting sqref="C29:D29">
    <cfRule type="expression" dxfId="26" priority="26">
      <formula>$D29=MAX($D45:$D114)</formula>
    </cfRule>
  </conditionalFormatting>
  <conditionalFormatting sqref="C113:D113">
    <cfRule type="expression" dxfId="26" priority="27">
      <formula>$D113=MAX($D45:$D114)</formula>
    </cfRule>
  </conditionalFormatting>
  <conditionalFormatting sqref="C112:D112">
    <cfRule type="expression" dxfId="26" priority="28">
      <formula>$D112=MAX($D43:$D114)</formula>
    </cfRule>
  </conditionalFormatting>
  <conditionalFormatting sqref="C62:D62">
    <cfRule type="expression" dxfId="26" priority="29">
      <formula>$D62=MAX($D41:$D114)</formula>
    </cfRule>
  </conditionalFormatting>
  <conditionalFormatting sqref="C49:D49">
    <cfRule type="expression" dxfId="26" priority="30">
      <formula>$D49=MAX($D41:$D114)</formula>
    </cfRule>
  </conditionalFormatting>
  <conditionalFormatting sqref="C60:D60">
    <cfRule type="expression" dxfId="26" priority="31">
      <formula>$D60=MAX($D41:$D114)</formula>
    </cfRule>
  </conditionalFormatting>
  <conditionalFormatting sqref="C48:D48">
    <cfRule type="expression" dxfId="26" priority="32">
      <formula>$D48=MAX($D41:$D114)</formula>
    </cfRule>
  </conditionalFormatting>
  <conditionalFormatting sqref="C61:D61">
    <cfRule type="expression" dxfId="26" priority="33">
      <formula>$D61=MAX($D41:$D114)</formula>
    </cfRule>
  </conditionalFormatting>
  <conditionalFormatting sqref="C23:D23">
    <cfRule type="expression" dxfId="26" priority="34">
      <formula>$D23=MAX($D41:$D114)</formula>
    </cfRule>
  </conditionalFormatting>
  <conditionalFormatting sqref="C54:D54">
    <cfRule type="expression" dxfId="26" priority="35">
      <formula>$D54=MAX($D41:$D114)</formula>
    </cfRule>
  </conditionalFormatting>
  <conditionalFormatting sqref="C77:D77">
    <cfRule type="expression" dxfId="26" priority="36">
      <formula>$D77=MAX($D41:$D114)</formula>
    </cfRule>
  </conditionalFormatting>
  <conditionalFormatting sqref="C82:D82">
    <cfRule type="expression" dxfId="26" priority="37">
      <formula>$D82=MAX($D41:$D114)</formula>
    </cfRule>
  </conditionalFormatting>
  <conditionalFormatting sqref="C108:D108">
    <cfRule type="expression" dxfId="26" priority="38">
      <formula>$D108=MAX($D41:$D114)</formula>
    </cfRule>
  </conditionalFormatting>
  <conditionalFormatting sqref="C63:D63">
    <cfRule type="expression" dxfId="26" priority="39">
      <formula>$D63=MAX($D40:$D114)</formula>
    </cfRule>
  </conditionalFormatting>
  <conditionalFormatting sqref="C88:D88">
    <cfRule type="expression" dxfId="26" priority="40">
      <formula>$D88=MAX($D40:$D114)</formula>
    </cfRule>
  </conditionalFormatting>
  <conditionalFormatting sqref="C111:D111">
    <cfRule type="expression" dxfId="26" priority="41">
      <formula>$D111=MAX($D40:$D114)</formula>
    </cfRule>
  </conditionalFormatting>
  <conditionalFormatting sqref="C110:D110">
    <cfRule type="expression" dxfId="26" priority="42">
      <formula>$D110=MAX($D38:$D114)</formula>
    </cfRule>
  </conditionalFormatting>
  <conditionalFormatting sqref="C17:D17">
    <cfRule type="expression" dxfId="26" priority="43">
      <formula>$D17=MAX($D38:$D114)</formula>
    </cfRule>
  </conditionalFormatting>
  <conditionalFormatting sqref="C81:D81">
    <cfRule type="expression" dxfId="26" priority="44">
      <formula>$D81=MAX($D37:$D114)</formula>
    </cfRule>
  </conditionalFormatting>
  <conditionalFormatting sqref="C73:D73">
    <cfRule type="expression" dxfId="26" priority="45">
      <formula>$D73=MAX($D37:$D114)</formula>
    </cfRule>
  </conditionalFormatting>
  <conditionalFormatting sqref="C66:D66">
    <cfRule type="expression" dxfId="26" priority="46">
      <formula>$D66=MAX($D37:$D114)</formula>
    </cfRule>
  </conditionalFormatting>
  <conditionalFormatting sqref="C74:D74">
    <cfRule type="expression" dxfId="26" priority="47">
      <formula>$D74=MAX($D37:$D114)</formula>
    </cfRule>
  </conditionalFormatting>
  <conditionalFormatting sqref="C83:D83">
    <cfRule type="expression" dxfId="26" priority="48">
      <formula>$D83=MAX($D37:$D114)</formula>
    </cfRule>
  </conditionalFormatting>
  <conditionalFormatting sqref="C43:D43">
    <cfRule type="expression" dxfId="26" priority="49">
      <formula>$D43=MAX($D37:$D114)</formula>
    </cfRule>
  </conditionalFormatting>
  <conditionalFormatting sqref="C80:D80">
    <cfRule type="expression" dxfId="26" priority="50">
      <formula>$D80=MAX($D37:$D114)</formula>
    </cfRule>
  </conditionalFormatting>
  <conditionalFormatting sqref="C4:D4">
    <cfRule type="expression" dxfId="26" priority="51">
      <formula>$D4=MAX($D37:$D114)</formula>
    </cfRule>
  </conditionalFormatting>
  <conditionalFormatting sqref="C45:D45">
    <cfRule type="expression" dxfId="26" priority="52">
      <formula>$D45=MAX($D37:$D114)</formula>
    </cfRule>
  </conditionalFormatting>
  <conditionalFormatting sqref="C3:D3">
    <cfRule type="expression" dxfId="26" priority="53">
      <formula>$D3=MAX($D37:$D114)</formula>
    </cfRule>
  </conditionalFormatting>
  <conditionalFormatting sqref="C36:D36">
    <cfRule type="expression" dxfId="26" priority="54">
      <formula>$D36=MAX($D34:$D114)</formula>
    </cfRule>
  </conditionalFormatting>
  <conditionalFormatting sqref="C109:D109">
    <cfRule type="expression" dxfId="26" priority="55">
      <formula>$D109=MAX($D33:$D114)</formula>
    </cfRule>
  </conditionalFormatting>
  <conditionalFormatting sqref="C76:D76">
    <cfRule type="expression" dxfId="26" priority="56">
      <formula>$D76=MAX($D32:$D114)</formula>
    </cfRule>
  </conditionalFormatting>
  <conditionalFormatting sqref="C106:D106">
    <cfRule type="expression" dxfId="26" priority="57">
      <formula>$D106=MAX($D31:$D114)</formula>
    </cfRule>
  </conditionalFormatting>
  <conditionalFormatting sqref="C107:D107">
    <cfRule type="expression" dxfId="26" priority="58">
      <formula>$D107=MAX($D32:$D114)</formula>
    </cfRule>
  </conditionalFormatting>
  <conditionalFormatting sqref="C40:D40">
    <cfRule type="expression" dxfId="26" priority="59">
      <formula>$D40=MAX($D31:$D114)</formula>
    </cfRule>
  </conditionalFormatting>
  <conditionalFormatting sqref="C16:D16">
    <cfRule type="expression" dxfId="26" priority="60">
      <formula>$D16=MAX($D30:$D114)</formula>
    </cfRule>
  </conditionalFormatting>
  <conditionalFormatting sqref="C101:D101">
    <cfRule type="expression" dxfId="26" priority="61">
      <formula>$D101=MAX($D30:$D114)</formula>
    </cfRule>
  </conditionalFormatting>
  <conditionalFormatting sqref="C91:D91">
    <cfRule type="expression" dxfId="26" priority="62">
      <formula>$D91=MAX($D30:$D114)</formula>
    </cfRule>
  </conditionalFormatting>
  <conditionalFormatting sqref="C57:D57">
    <cfRule type="expression" dxfId="26" priority="63">
      <formula>$D57=MAX($D27:$D114)</formula>
    </cfRule>
  </conditionalFormatting>
  <conditionalFormatting sqref="C75:D75">
    <cfRule type="expression" dxfId="26" priority="64">
      <formula>$D75=MAX($D25:$D114)</formula>
    </cfRule>
  </conditionalFormatting>
  <conditionalFormatting sqref="C79:D79">
    <cfRule type="expression" dxfId="26" priority="65">
      <formula>$D79=MAX($D25:$D114)</formula>
    </cfRule>
  </conditionalFormatting>
  <conditionalFormatting sqref="C41:D41">
    <cfRule type="expression" dxfId="26" priority="66">
      <formula>$D41=MAX($D25:$D114)</formula>
    </cfRule>
  </conditionalFormatting>
  <conditionalFormatting sqref="C85:D85">
    <cfRule type="expression" dxfId="26" priority="67">
      <formula>$D85=MAX($D25:$D114)</formula>
    </cfRule>
  </conditionalFormatting>
  <conditionalFormatting sqref="C47:D47">
    <cfRule type="expression" dxfId="26" priority="68">
      <formula>$D47=MAX($D19:$D114)</formula>
    </cfRule>
  </conditionalFormatting>
  <conditionalFormatting sqref="C14:D14">
    <cfRule type="expression" dxfId="26" priority="69">
      <formula>$D14=MAX($D20:$D114)</formula>
    </cfRule>
  </conditionalFormatting>
  <conditionalFormatting sqref="C78:D78">
    <cfRule type="expression" dxfId="26" priority="70">
      <formula>$D78=MAX($D10:$D114)</formula>
    </cfRule>
  </conditionalFormatting>
  <conditionalFormatting sqref="C105:D105">
    <cfRule type="expression" dxfId="26" priority="71">
      <formula>$D105=MAX($D18:$D114)</formula>
    </cfRule>
  </conditionalFormatting>
  <conditionalFormatting sqref="C104:D104">
    <cfRule type="expression" dxfId="26" priority="72">
      <formula>$D104=MAX($D52:$D114)</formula>
    </cfRule>
  </conditionalFormatting>
  <conditionalFormatting sqref="C114:D114">
    <cfRule type="expression" dxfId="26" priority="73">
      <formula>$D114=MAX($D40:$D114)</formula>
    </cfRule>
  </conditionalFormatting>
  <conditionalFormatting sqref="L3:L114">
    <cfRule type="cellIs" dxfId="4" priority="74" operator="equal">
      <formula>"E"</formula>
    </cfRule>
  </conditionalFormatting>
  <conditionalFormatting sqref="L3:L114">
    <cfRule type="cellIs" dxfId="23" priority="75" operator="equal">
      <formula>"F"</formula>
    </cfRule>
  </conditionalFormatting>
  <conditionalFormatting sqref="L3:L114">
    <cfRule type="cellIs" dxfId="5" priority="76" operator="equal">
      <formula>"✔"</formula>
    </cfRule>
  </conditionalFormatting>
  <conditionalFormatting sqref="L3:L114">
    <cfRule type="cellIs" dxfId="6" priority="77" operator="equal">
      <formula>"▲"</formula>
    </cfRule>
  </conditionalFormatting>
  <conditionalFormatting sqref="L3:L114">
    <cfRule type="cellIs" dxfId="24" priority="78" operator="equal">
      <formula>"!"</formula>
    </cfRule>
  </conditionalFormatting>
  <conditionalFormatting sqref="L3:L114">
    <cfRule type="cellIs" dxfId="7" priority="79" operator="equal">
      <formula>"✖"</formula>
    </cfRule>
  </conditionalFormatting>
  <conditionalFormatting sqref="K3:L114">
    <cfRule type="cellIs" dxfId="5" priority="80" operator="equal">
      <formula>"S"</formula>
    </cfRule>
  </conditionalFormatting>
  <conditionalFormatting sqref="K3:L114">
    <cfRule type="cellIs" dxfId="9" priority="81" operator="equal">
      <formula>"A"</formula>
    </cfRule>
  </conditionalFormatting>
  <conditionalFormatting sqref="K3:L114">
    <cfRule type="cellIs" dxfId="6" priority="82" operator="equal">
      <formula>"B"</formula>
    </cfRule>
  </conditionalFormatting>
  <conditionalFormatting sqref="K3:L114">
    <cfRule type="cellIs" dxfId="8" priority="83" operator="equal">
      <formula>"C"</formula>
    </cfRule>
  </conditionalFormatting>
  <conditionalFormatting sqref="K3:L114">
    <cfRule type="cellIs" dxfId="7" priority="84" operator="equal">
      <formula>"D"</formula>
    </cfRule>
  </conditionalFormatting>
  <conditionalFormatting sqref="K3:K114">
    <cfRule type="colorScale" priority="8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L3:L114">
    <cfRule type="cellIs" dxfId="4" priority="86" operator="equal">
      <formula>"F"</formula>
    </cfRule>
  </conditionalFormatting>
  <conditionalFormatting sqref="C5:D7 C10:D10 C18:D18 C20:D21 C25:D27 C30:D34 C37:D39 C46:D46 C50:D50 C52:D53 C55:D56 C67:D67 C84:D84 C86:D87 C89:D90 C92:D94 C96:D96 C98:D100 C102:D103">
    <cfRule type="expression" dxfId="26" priority="87">
      <formula>$D5=MAX($D5:$D114)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2.13"/>
    <col customWidth="1" min="4" max="4" width="43.13"/>
    <col customWidth="1" min="5" max="5" width="19.0"/>
    <col customWidth="1" min="6" max="6" width="27.75"/>
    <col customWidth="1" min="7" max="8" width="6.38"/>
  </cols>
  <sheetData>
    <row r="1" ht="16.5" customHeight="1">
      <c r="A1" s="190" t="s">
        <v>6817</v>
      </c>
      <c r="F1" s="192" t="s">
        <v>2061</v>
      </c>
    </row>
    <row r="2" ht="16.5" customHeight="1">
      <c r="A2" s="126" t="s">
        <v>1781</v>
      </c>
      <c r="B2" s="194" t="s">
        <v>54</v>
      </c>
      <c r="C2" s="194" t="s">
        <v>6818</v>
      </c>
      <c r="D2" s="194" t="s">
        <v>2204</v>
      </c>
      <c r="E2" s="195" t="s">
        <v>6819</v>
      </c>
      <c r="F2" s="195" t="s">
        <v>4625</v>
      </c>
      <c r="G2" s="195" t="s">
        <v>2422</v>
      </c>
      <c r="H2" s="195" t="s">
        <v>63</v>
      </c>
    </row>
    <row r="3" ht="37.5" customHeight="1">
      <c r="A3" s="136"/>
      <c r="B3" s="11" t="s">
        <v>1668</v>
      </c>
      <c r="C3" s="14" t="s">
        <v>94</v>
      </c>
      <c r="D3" s="14" t="s">
        <v>6820</v>
      </c>
      <c r="E3" s="128" t="s">
        <v>6821</v>
      </c>
      <c r="F3" s="14" t="s">
        <v>6822</v>
      </c>
      <c r="G3" s="128">
        <v>1.0</v>
      </c>
      <c r="H3" s="128" t="s">
        <v>71</v>
      </c>
    </row>
    <row r="4" ht="37.5" customHeight="1">
      <c r="A4" s="248"/>
      <c r="B4" s="11" t="s">
        <v>1690</v>
      </c>
      <c r="C4" s="14" t="s">
        <v>6823</v>
      </c>
      <c r="D4" s="14" t="s">
        <v>6824</v>
      </c>
      <c r="E4" s="249" t="s">
        <v>6825</v>
      </c>
      <c r="F4" s="14" t="s">
        <v>6826</v>
      </c>
      <c r="G4" s="128">
        <v>2.0</v>
      </c>
      <c r="H4" s="128" t="s">
        <v>71</v>
      </c>
    </row>
    <row r="5" ht="37.5" customHeight="1">
      <c r="A5" s="248"/>
      <c r="B5" s="11" t="s">
        <v>1702</v>
      </c>
      <c r="C5" s="14" t="s">
        <v>6823</v>
      </c>
      <c r="D5" s="14" t="s">
        <v>6827</v>
      </c>
      <c r="E5" s="128" t="s">
        <v>6821</v>
      </c>
      <c r="F5" s="14" t="s">
        <v>6822</v>
      </c>
      <c r="G5" s="128">
        <v>3.0</v>
      </c>
      <c r="H5" s="128" t="s">
        <v>71</v>
      </c>
    </row>
    <row r="6" ht="37.5" customHeight="1">
      <c r="A6" s="136"/>
      <c r="B6" s="11" t="s">
        <v>1685</v>
      </c>
      <c r="C6" s="14" t="s">
        <v>73</v>
      </c>
      <c r="D6" s="14" t="s">
        <v>6828</v>
      </c>
      <c r="E6" s="128" t="s">
        <v>6829</v>
      </c>
      <c r="F6" s="14" t="s">
        <v>6822</v>
      </c>
      <c r="G6" s="128">
        <v>4.0</v>
      </c>
      <c r="H6" s="128" t="s">
        <v>71</v>
      </c>
    </row>
    <row r="7" ht="37.5" customHeight="1">
      <c r="A7" s="136"/>
      <c r="B7" s="11" t="s">
        <v>1673</v>
      </c>
      <c r="C7" s="14" t="s">
        <v>73</v>
      </c>
      <c r="D7" s="14" t="s">
        <v>6830</v>
      </c>
      <c r="E7" s="128" t="s">
        <v>6829</v>
      </c>
      <c r="F7" s="14" t="s">
        <v>6831</v>
      </c>
      <c r="G7" s="128">
        <v>5.0</v>
      </c>
      <c r="H7" s="128" t="s">
        <v>71</v>
      </c>
    </row>
    <row r="8" ht="37.5" customHeight="1">
      <c r="A8" s="136"/>
      <c r="B8" s="11" t="s">
        <v>1725</v>
      </c>
      <c r="C8" s="14" t="s">
        <v>83</v>
      </c>
      <c r="D8" s="14" t="s">
        <v>6832</v>
      </c>
      <c r="E8" s="128" t="s">
        <v>6829</v>
      </c>
      <c r="F8" s="14" t="s">
        <v>6822</v>
      </c>
      <c r="G8" s="128">
        <v>6.0</v>
      </c>
      <c r="H8" s="128" t="s">
        <v>71</v>
      </c>
    </row>
    <row r="9" ht="37.5" customHeight="1">
      <c r="A9" s="136"/>
      <c r="B9" s="11" t="s">
        <v>1670</v>
      </c>
      <c r="C9" s="14" t="s">
        <v>94</v>
      </c>
      <c r="D9" s="14" t="s">
        <v>6833</v>
      </c>
      <c r="E9" s="128" t="s">
        <v>6834</v>
      </c>
      <c r="F9" s="14" t="s">
        <v>6835</v>
      </c>
      <c r="G9" s="128">
        <v>7.0</v>
      </c>
      <c r="H9" s="128" t="s">
        <v>92</v>
      </c>
    </row>
    <row r="10" ht="37.5" customHeight="1">
      <c r="A10" s="136"/>
      <c r="B10" s="11" t="s">
        <v>1717</v>
      </c>
      <c r="C10" s="14" t="s">
        <v>65</v>
      </c>
      <c r="D10" s="14" t="s">
        <v>6836</v>
      </c>
      <c r="E10" s="249" t="s">
        <v>6837</v>
      </c>
      <c r="F10" s="14" t="s">
        <v>6822</v>
      </c>
      <c r="G10" s="128">
        <v>8.0</v>
      </c>
      <c r="H10" s="128" t="s">
        <v>92</v>
      </c>
    </row>
    <row r="11" ht="37.5" customHeight="1">
      <c r="A11" s="248"/>
      <c r="B11" s="11" t="s">
        <v>1694</v>
      </c>
      <c r="C11" s="14" t="s">
        <v>6823</v>
      </c>
      <c r="D11" s="14" t="s">
        <v>6838</v>
      </c>
      <c r="E11" s="128" t="s">
        <v>6829</v>
      </c>
      <c r="F11" s="14" t="s">
        <v>6839</v>
      </c>
      <c r="G11" s="128">
        <v>9.0</v>
      </c>
      <c r="H11" s="128" t="s">
        <v>92</v>
      </c>
    </row>
    <row r="12" ht="37.5" customHeight="1">
      <c r="A12" s="136"/>
      <c r="B12" s="11" t="s">
        <v>1731</v>
      </c>
      <c r="C12" s="14" t="s">
        <v>83</v>
      </c>
      <c r="D12" s="14" t="s">
        <v>6840</v>
      </c>
      <c r="E12" s="128" t="s">
        <v>6841</v>
      </c>
      <c r="F12" s="14" t="s">
        <v>6822</v>
      </c>
      <c r="G12" s="128">
        <v>10.0</v>
      </c>
      <c r="H12" s="128" t="s">
        <v>92</v>
      </c>
    </row>
    <row r="13" ht="37.5" customHeight="1">
      <c r="A13" s="248"/>
      <c r="B13" s="11" t="s">
        <v>1701</v>
      </c>
      <c r="C13" s="14" t="s">
        <v>6823</v>
      </c>
      <c r="D13" s="14" t="s">
        <v>6842</v>
      </c>
      <c r="E13" s="249" t="s">
        <v>6837</v>
      </c>
      <c r="F13" s="14" t="s">
        <v>6822</v>
      </c>
      <c r="G13" s="128">
        <v>11.0</v>
      </c>
      <c r="H13" s="128" t="s">
        <v>92</v>
      </c>
    </row>
    <row r="14" ht="37.5" customHeight="1">
      <c r="A14" s="136"/>
      <c r="B14" s="11" t="s">
        <v>1682</v>
      </c>
      <c r="C14" s="14" t="s">
        <v>73</v>
      </c>
      <c r="D14" s="250" t="s">
        <v>6843</v>
      </c>
      <c r="E14" s="128" t="s">
        <v>6834</v>
      </c>
      <c r="F14" s="14" t="s">
        <v>6844</v>
      </c>
      <c r="G14" s="128">
        <v>12.0</v>
      </c>
      <c r="H14" s="128" t="s">
        <v>92</v>
      </c>
    </row>
    <row r="15" ht="37.5" customHeight="1">
      <c r="A15" s="136"/>
      <c r="B15" s="11" t="s">
        <v>1747</v>
      </c>
      <c r="C15" s="14" t="s">
        <v>157</v>
      </c>
      <c r="D15" s="14" t="s">
        <v>6845</v>
      </c>
      <c r="E15" s="128" t="s">
        <v>6834</v>
      </c>
      <c r="F15" s="14" t="s">
        <v>6822</v>
      </c>
      <c r="G15" s="128">
        <v>13.0</v>
      </c>
      <c r="H15" s="128" t="s">
        <v>92</v>
      </c>
    </row>
    <row r="16" ht="37.5" customHeight="1">
      <c r="A16" s="136"/>
      <c r="B16" s="11" t="s">
        <v>1663</v>
      </c>
      <c r="C16" s="14" t="s">
        <v>94</v>
      </c>
      <c r="D16" s="14" t="s">
        <v>6846</v>
      </c>
      <c r="E16" s="249" t="s">
        <v>6847</v>
      </c>
      <c r="F16" s="14" t="s">
        <v>6848</v>
      </c>
      <c r="G16" s="128">
        <v>14.0</v>
      </c>
      <c r="H16" s="128" t="s">
        <v>92</v>
      </c>
    </row>
    <row r="17" ht="37.5" customHeight="1">
      <c r="A17" s="136"/>
      <c r="B17" s="11" t="s">
        <v>1746</v>
      </c>
      <c r="C17" s="14" t="s">
        <v>157</v>
      </c>
      <c r="D17" s="14" t="s">
        <v>6849</v>
      </c>
      <c r="E17" s="128" t="s">
        <v>6834</v>
      </c>
      <c r="F17" s="14" t="s">
        <v>6822</v>
      </c>
      <c r="G17" s="128">
        <v>15.0</v>
      </c>
      <c r="H17" s="128" t="s">
        <v>92</v>
      </c>
    </row>
    <row r="18" ht="37.5" customHeight="1">
      <c r="A18" s="136"/>
      <c r="B18" s="11" t="s">
        <v>1722</v>
      </c>
      <c r="C18" s="14" t="s">
        <v>83</v>
      </c>
      <c r="D18" s="14" t="s">
        <v>6850</v>
      </c>
      <c r="E18" s="249" t="s">
        <v>6851</v>
      </c>
      <c r="F18" s="14" t="s">
        <v>6852</v>
      </c>
      <c r="G18" s="128">
        <v>16.0</v>
      </c>
      <c r="H18" s="128" t="s">
        <v>92</v>
      </c>
    </row>
    <row r="19" ht="37.5" customHeight="1">
      <c r="A19" s="136"/>
      <c r="B19" s="11" t="s">
        <v>1748</v>
      </c>
      <c r="C19" s="14" t="s">
        <v>157</v>
      </c>
      <c r="D19" s="14" t="s">
        <v>6853</v>
      </c>
      <c r="E19" s="128" t="s">
        <v>6829</v>
      </c>
      <c r="F19" s="14" t="s">
        <v>6822</v>
      </c>
      <c r="G19" s="128">
        <v>17.0</v>
      </c>
      <c r="H19" s="128" t="s">
        <v>92</v>
      </c>
    </row>
    <row r="20" ht="37.5" customHeight="1">
      <c r="A20" s="136"/>
      <c r="B20" s="11" t="s">
        <v>1669</v>
      </c>
      <c r="C20" s="14" t="s">
        <v>94</v>
      </c>
      <c r="D20" s="14" t="s">
        <v>6854</v>
      </c>
      <c r="E20" s="128" t="s">
        <v>6829</v>
      </c>
      <c r="F20" s="14" t="s">
        <v>6855</v>
      </c>
      <c r="G20" s="128">
        <v>18.0</v>
      </c>
      <c r="H20" s="128" t="s">
        <v>120</v>
      </c>
    </row>
    <row r="21" ht="37.5" customHeight="1">
      <c r="A21" s="248"/>
      <c r="B21" s="11" t="s">
        <v>1691</v>
      </c>
      <c r="C21" s="14" t="s">
        <v>6823</v>
      </c>
      <c r="D21" s="14" t="s">
        <v>6856</v>
      </c>
      <c r="E21" s="128" t="s">
        <v>6857</v>
      </c>
      <c r="F21" s="14" t="s">
        <v>6858</v>
      </c>
      <c r="G21" s="128">
        <v>19.0</v>
      </c>
      <c r="H21" s="128" t="s">
        <v>120</v>
      </c>
    </row>
    <row r="22" ht="37.5" customHeight="1">
      <c r="A22" s="136"/>
      <c r="B22" s="11" t="s">
        <v>1664</v>
      </c>
      <c r="C22" s="14" t="s">
        <v>94</v>
      </c>
      <c r="D22" s="14" t="s">
        <v>6859</v>
      </c>
      <c r="E22" s="249" t="s">
        <v>6860</v>
      </c>
      <c r="F22" s="14" t="s">
        <v>6822</v>
      </c>
      <c r="G22" s="128">
        <v>20.0</v>
      </c>
      <c r="H22" s="128" t="s">
        <v>120</v>
      </c>
    </row>
    <row r="23" ht="37.5" customHeight="1">
      <c r="A23" s="136"/>
      <c r="B23" s="11" t="s">
        <v>1707</v>
      </c>
      <c r="C23" s="14" t="s">
        <v>65</v>
      </c>
      <c r="D23" s="14" t="s">
        <v>6861</v>
      </c>
      <c r="E23" s="128" t="s">
        <v>6834</v>
      </c>
      <c r="F23" s="14" t="s">
        <v>6862</v>
      </c>
      <c r="G23" s="128">
        <v>21.0</v>
      </c>
      <c r="H23" s="128" t="s">
        <v>120</v>
      </c>
    </row>
    <row r="24" ht="37.5" customHeight="1">
      <c r="A24" s="136"/>
      <c r="B24" s="11" t="s">
        <v>1671</v>
      </c>
      <c r="C24" s="14" t="s">
        <v>73</v>
      </c>
      <c r="D24" s="14" t="s">
        <v>6863</v>
      </c>
      <c r="E24" s="128" t="s">
        <v>6834</v>
      </c>
      <c r="F24" s="14" t="s">
        <v>6864</v>
      </c>
      <c r="G24" s="128">
        <v>22.0</v>
      </c>
      <c r="H24" s="128" t="s">
        <v>120</v>
      </c>
    </row>
    <row r="25" ht="37.5" customHeight="1">
      <c r="A25" s="136"/>
      <c r="B25" s="11" t="s">
        <v>1675</v>
      </c>
      <c r="C25" s="14" t="s">
        <v>73</v>
      </c>
      <c r="D25" s="14" t="s">
        <v>6865</v>
      </c>
      <c r="E25" s="249" t="s">
        <v>6825</v>
      </c>
      <c r="F25" s="14" t="s">
        <v>6866</v>
      </c>
      <c r="G25" s="128">
        <v>23.0</v>
      </c>
      <c r="H25" s="128" t="s">
        <v>120</v>
      </c>
    </row>
    <row r="26" ht="37.5" customHeight="1">
      <c r="A26" s="136"/>
      <c r="B26" s="11" t="s">
        <v>1709</v>
      </c>
      <c r="C26" s="14" t="s">
        <v>65</v>
      </c>
      <c r="D26" s="14" t="s">
        <v>6867</v>
      </c>
      <c r="E26" s="128" t="s">
        <v>6857</v>
      </c>
      <c r="F26" s="14" t="s">
        <v>6862</v>
      </c>
      <c r="G26" s="128">
        <v>24.0</v>
      </c>
      <c r="H26" s="128" t="s">
        <v>120</v>
      </c>
    </row>
    <row r="27" ht="37.5" customHeight="1">
      <c r="A27" s="136"/>
      <c r="B27" s="11" t="s">
        <v>1715</v>
      </c>
      <c r="C27" s="14" t="s">
        <v>65</v>
      </c>
      <c r="D27" s="14" t="s">
        <v>6868</v>
      </c>
      <c r="E27" s="128" t="s">
        <v>6834</v>
      </c>
      <c r="F27" s="14" t="s">
        <v>6869</v>
      </c>
      <c r="G27" s="128">
        <v>25.0</v>
      </c>
      <c r="H27" s="128" t="s">
        <v>120</v>
      </c>
    </row>
    <row r="28" ht="37.5" customHeight="1">
      <c r="A28" s="136"/>
      <c r="B28" s="11" t="s">
        <v>1683</v>
      </c>
      <c r="C28" s="14" t="s">
        <v>73</v>
      </c>
      <c r="D28" s="14" t="s">
        <v>6870</v>
      </c>
      <c r="E28" s="128" t="s">
        <v>6834</v>
      </c>
      <c r="F28" s="14" t="s">
        <v>6871</v>
      </c>
      <c r="G28" s="128">
        <v>26.0</v>
      </c>
      <c r="H28" s="128" t="s">
        <v>120</v>
      </c>
    </row>
    <row r="29" ht="37.5" customHeight="1">
      <c r="A29" s="136"/>
      <c r="B29" s="11" t="s">
        <v>1737</v>
      </c>
      <c r="C29" s="14" t="s">
        <v>157</v>
      </c>
      <c r="D29" s="14" t="s">
        <v>6872</v>
      </c>
      <c r="E29" s="249" t="s">
        <v>6837</v>
      </c>
      <c r="F29" s="14" t="s">
        <v>6822</v>
      </c>
      <c r="G29" s="128">
        <v>27.0</v>
      </c>
      <c r="H29" s="128" t="s">
        <v>120</v>
      </c>
    </row>
    <row r="30" ht="37.5" customHeight="1">
      <c r="A30" s="136"/>
      <c r="B30" s="11" t="s">
        <v>1741</v>
      </c>
      <c r="C30" s="14" t="s">
        <v>157</v>
      </c>
      <c r="D30" s="14" t="s">
        <v>6873</v>
      </c>
      <c r="E30" s="128" t="s">
        <v>6874</v>
      </c>
      <c r="F30" s="14" t="s">
        <v>6875</v>
      </c>
      <c r="G30" s="128">
        <v>28.0</v>
      </c>
      <c r="H30" s="128" t="s">
        <v>120</v>
      </c>
    </row>
    <row r="31" ht="37.5" customHeight="1">
      <c r="A31" s="248"/>
      <c r="B31" s="11" t="s">
        <v>1705</v>
      </c>
      <c r="C31" s="14" t="s">
        <v>6823</v>
      </c>
      <c r="D31" s="14" t="s">
        <v>6876</v>
      </c>
      <c r="E31" s="128" t="s">
        <v>6834</v>
      </c>
      <c r="F31" s="14" t="s">
        <v>6877</v>
      </c>
      <c r="G31" s="128">
        <v>29.0</v>
      </c>
      <c r="H31" s="128" t="s">
        <v>120</v>
      </c>
    </row>
    <row r="32" ht="37.5" customHeight="1">
      <c r="A32" s="136"/>
      <c r="B32" s="11" t="s">
        <v>1726</v>
      </c>
      <c r="C32" s="14" t="s">
        <v>83</v>
      </c>
      <c r="D32" s="14" t="s">
        <v>6878</v>
      </c>
      <c r="E32" s="128" t="s">
        <v>6834</v>
      </c>
      <c r="F32" s="14" t="s">
        <v>6877</v>
      </c>
      <c r="G32" s="128">
        <v>30.0</v>
      </c>
      <c r="H32" s="128" t="s">
        <v>120</v>
      </c>
    </row>
    <row r="33" ht="37.5" customHeight="1">
      <c r="A33" s="136"/>
      <c r="B33" s="11" t="s">
        <v>1677</v>
      </c>
      <c r="C33" s="14" t="s">
        <v>73</v>
      </c>
      <c r="D33" s="14" t="s">
        <v>6879</v>
      </c>
      <c r="E33" s="128" t="s">
        <v>6841</v>
      </c>
      <c r="F33" s="14" t="s">
        <v>6822</v>
      </c>
      <c r="G33" s="128">
        <v>31.0</v>
      </c>
      <c r="H33" s="128" t="s">
        <v>120</v>
      </c>
    </row>
    <row r="34" ht="37.5" customHeight="1">
      <c r="A34" s="136"/>
      <c r="B34" s="11" t="s">
        <v>1724</v>
      </c>
      <c r="C34" s="14" t="s">
        <v>83</v>
      </c>
      <c r="D34" s="14" t="s">
        <v>6880</v>
      </c>
      <c r="E34" s="128" t="s">
        <v>6857</v>
      </c>
      <c r="F34" s="14" t="s">
        <v>6881</v>
      </c>
      <c r="G34" s="128">
        <v>32.0</v>
      </c>
      <c r="H34" s="128" t="s">
        <v>120</v>
      </c>
    </row>
    <row r="35" ht="37.5" customHeight="1">
      <c r="A35" s="251"/>
      <c r="B35" s="11" t="s">
        <v>1698</v>
      </c>
      <c r="C35" s="14" t="s">
        <v>6823</v>
      </c>
      <c r="D35" s="250" t="s">
        <v>6882</v>
      </c>
      <c r="E35" s="128" t="s">
        <v>6834</v>
      </c>
      <c r="F35" s="14" t="s">
        <v>6822</v>
      </c>
      <c r="G35" s="128">
        <v>33.0</v>
      </c>
      <c r="H35" s="128" t="s">
        <v>120</v>
      </c>
    </row>
    <row r="36" ht="37.5" customHeight="1">
      <c r="A36" s="248"/>
      <c r="B36" s="11" t="s">
        <v>1703</v>
      </c>
      <c r="C36" s="14" t="s">
        <v>6823</v>
      </c>
      <c r="D36" s="14" t="s">
        <v>6883</v>
      </c>
      <c r="E36" s="249" t="s">
        <v>6884</v>
      </c>
      <c r="F36" s="14" t="s">
        <v>6885</v>
      </c>
      <c r="G36" s="128">
        <v>34.0</v>
      </c>
      <c r="H36" s="128" t="s">
        <v>120</v>
      </c>
    </row>
    <row r="37" ht="37.5" customHeight="1">
      <c r="A37" s="136"/>
      <c r="B37" s="11" t="s">
        <v>1721</v>
      </c>
      <c r="C37" s="14" t="s">
        <v>83</v>
      </c>
      <c r="D37" s="14" t="s">
        <v>6886</v>
      </c>
      <c r="E37" s="128" t="s">
        <v>6834</v>
      </c>
      <c r="F37" s="14" t="s">
        <v>6887</v>
      </c>
      <c r="G37" s="128">
        <v>35.0</v>
      </c>
      <c r="H37" s="128" t="s">
        <v>120</v>
      </c>
    </row>
    <row r="38" ht="37.5" customHeight="1">
      <c r="A38" s="136"/>
      <c r="B38" s="11" t="s">
        <v>1681</v>
      </c>
      <c r="C38" s="14" t="s">
        <v>73</v>
      </c>
      <c r="D38" s="14" t="s">
        <v>6888</v>
      </c>
      <c r="E38" s="249" t="s">
        <v>6847</v>
      </c>
      <c r="F38" s="14" t="s">
        <v>6889</v>
      </c>
      <c r="G38" s="128">
        <v>36.0</v>
      </c>
      <c r="H38" s="128" t="s">
        <v>120</v>
      </c>
    </row>
    <row r="39" ht="37.5" customHeight="1">
      <c r="A39" s="136"/>
      <c r="B39" s="11" t="s">
        <v>1738</v>
      </c>
      <c r="C39" s="14" t="s">
        <v>157</v>
      </c>
      <c r="D39" s="14" t="s">
        <v>6890</v>
      </c>
      <c r="E39" s="128" t="s">
        <v>6834</v>
      </c>
      <c r="F39" s="14" t="s">
        <v>6822</v>
      </c>
      <c r="G39" s="128">
        <v>37.0</v>
      </c>
      <c r="H39" s="128" t="s">
        <v>120</v>
      </c>
    </row>
    <row r="40" ht="37.5" customHeight="1">
      <c r="A40" s="248"/>
      <c r="B40" s="11" t="s">
        <v>1687</v>
      </c>
      <c r="C40" s="14" t="s">
        <v>6823</v>
      </c>
      <c r="D40" s="14" t="s">
        <v>6891</v>
      </c>
      <c r="E40" s="128" t="s">
        <v>6834</v>
      </c>
      <c r="F40" s="14" t="s">
        <v>6892</v>
      </c>
      <c r="G40" s="128">
        <v>38.0</v>
      </c>
      <c r="H40" s="128" t="s">
        <v>136</v>
      </c>
    </row>
    <row r="41" ht="37.5" customHeight="1">
      <c r="A41" s="248"/>
      <c r="B41" s="11" t="s">
        <v>1700</v>
      </c>
      <c r="C41" s="14" t="s">
        <v>6823</v>
      </c>
      <c r="D41" s="14" t="s">
        <v>6893</v>
      </c>
      <c r="E41" s="128" t="s">
        <v>6834</v>
      </c>
      <c r="F41" s="14" t="s">
        <v>6894</v>
      </c>
      <c r="G41" s="128">
        <v>39.0</v>
      </c>
      <c r="H41" s="128" t="s">
        <v>136</v>
      </c>
    </row>
    <row r="42" ht="37.5" customHeight="1">
      <c r="A42" s="136"/>
      <c r="B42" s="11" t="s">
        <v>1680</v>
      </c>
      <c r="C42" s="14" t="s">
        <v>73</v>
      </c>
      <c r="D42" s="14" t="s">
        <v>6895</v>
      </c>
      <c r="E42" s="128" t="s">
        <v>6834</v>
      </c>
      <c r="F42" s="14" t="s">
        <v>6896</v>
      </c>
      <c r="G42" s="128">
        <v>40.0</v>
      </c>
      <c r="H42" s="128" t="s">
        <v>136</v>
      </c>
    </row>
    <row r="43" ht="37.5" customHeight="1">
      <c r="A43" s="136"/>
      <c r="B43" s="11" t="s">
        <v>1679</v>
      </c>
      <c r="C43" s="14" t="s">
        <v>73</v>
      </c>
      <c r="D43" s="14" t="s">
        <v>6897</v>
      </c>
      <c r="E43" s="249" t="s">
        <v>6898</v>
      </c>
      <c r="F43" s="14" t="s">
        <v>6899</v>
      </c>
      <c r="G43" s="128">
        <v>41.0</v>
      </c>
      <c r="H43" s="128" t="s">
        <v>136</v>
      </c>
    </row>
    <row r="44" ht="37.5" customHeight="1">
      <c r="A44" s="136"/>
      <c r="B44" s="11" t="s">
        <v>1719</v>
      </c>
      <c r="C44" s="14" t="s">
        <v>83</v>
      </c>
      <c r="D44" s="14" t="s">
        <v>6900</v>
      </c>
      <c r="E44" s="249" t="s">
        <v>6884</v>
      </c>
      <c r="F44" s="14" t="s">
        <v>6901</v>
      </c>
      <c r="G44" s="128">
        <v>42.0</v>
      </c>
      <c r="H44" s="128" t="s">
        <v>136</v>
      </c>
    </row>
    <row r="45" ht="37.5" customHeight="1">
      <c r="A45" s="136"/>
      <c r="B45" s="11" t="s">
        <v>1742</v>
      </c>
      <c r="C45" s="14" t="s">
        <v>157</v>
      </c>
      <c r="D45" s="14" t="s">
        <v>6902</v>
      </c>
      <c r="E45" s="249" t="s">
        <v>6898</v>
      </c>
      <c r="F45" s="14" t="s">
        <v>6903</v>
      </c>
      <c r="G45" s="128">
        <v>43.0</v>
      </c>
      <c r="H45" s="128" t="s">
        <v>136</v>
      </c>
    </row>
    <row r="46" ht="37.5" customHeight="1">
      <c r="A46" s="136"/>
      <c r="B46" s="11" t="s">
        <v>1714</v>
      </c>
      <c r="C46" s="14" t="s">
        <v>65</v>
      </c>
      <c r="D46" s="14" t="s">
        <v>6904</v>
      </c>
      <c r="E46" s="128" t="s">
        <v>6834</v>
      </c>
      <c r="F46" s="14" t="s">
        <v>6905</v>
      </c>
      <c r="G46" s="128">
        <v>44.0</v>
      </c>
      <c r="H46" s="128" t="s">
        <v>136</v>
      </c>
    </row>
    <row r="47" ht="37.5" customHeight="1">
      <c r="A47" s="136"/>
      <c r="B47" s="11" t="s">
        <v>1718</v>
      </c>
      <c r="C47" s="14" t="s">
        <v>65</v>
      </c>
      <c r="D47" s="14" t="s">
        <v>6906</v>
      </c>
      <c r="E47" s="128" t="s">
        <v>6829</v>
      </c>
      <c r="F47" s="14" t="s">
        <v>6869</v>
      </c>
      <c r="G47" s="128">
        <v>45.0</v>
      </c>
      <c r="H47" s="128" t="s">
        <v>136</v>
      </c>
    </row>
    <row r="48" ht="37.5" customHeight="1">
      <c r="A48" s="248"/>
      <c r="B48" s="11" t="s">
        <v>1689</v>
      </c>
      <c r="C48" s="14" t="s">
        <v>6823</v>
      </c>
      <c r="D48" s="14" t="s">
        <v>6907</v>
      </c>
      <c r="E48" s="128" t="s">
        <v>6834</v>
      </c>
      <c r="F48" s="14" t="s">
        <v>6908</v>
      </c>
      <c r="G48" s="128">
        <v>46.0</v>
      </c>
      <c r="H48" s="128" t="s">
        <v>136</v>
      </c>
    </row>
    <row r="49" ht="37.5" customHeight="1">
      <c r="A49" s="136"/>
      <c r="B49" s="11" t="s">
        <v>1660</v>
      </c>
      <c r="C49" s="14" t="s">
        <v>94</v>
      </c>
      <c r="D49" s="14" t="s">
        <v>6909</v>
      </c>
      <c r="E49" s="128" t="s">
        <v>6834</v>
      </c>
      <c r="F49" s="14" t="s">
        <v>6822</v>
      </c>
      <c r="G49" s="128">
        <v>47.0</v>
      </c>
      <c r="H49" s="128" t="s">
        <v>136</v>
      </c>
    </row>
    <row r="50" ht="37.5" customHeight="1">
      <c r="A50" s="136"/>
      <c r="B50" s="11" t="s">
        <v>1706</v>
      </c>
      <c r="C50" s="14" t="s">
        <v>65</v>
      </c>
      <c r="D50" s="14" t="s">
        <v>6910</v>
      </c>
      <c r="E50" s="128" t="s">
        <v>6834</v>
      </c>
      <c r="F50" s="14" t="s">
        <v>6822</v>
      </c>
      <c r="G50" s="128">
        <v>48.0</v>
      </c>
      <c r="H50" s="128" t="s">
        <v>136</v>
      </c>
    </row>
    <row r="51" ht="37.5" customHeight="1">
      <c r="A51" s="136"/>
      <c r="B51" s="11" t="s">
        <v>1744</v>
      </c>
      <c r="C51" s="14" t="s">
        <v>157</v>
      </c>
      <c r="D51" s="14" t="s">
        <v>6911</v>
      </c>
      <c r="E51" s="128" t="s">
        <v>6834</v>
      </c>
      <c r="F51" s="14" t="s">
        <v>6912</v>
      </c>
      <c r="G51" s="128">
        <v>49.0</v>
      </c>
      <c r="H51" s="128" t="s">
        <v>136</v>
      </c>
    </row>
    <row r="52" ht="37.5" customHeight="1">
      <c r="A52" s="136"/>
      <c r="B52" s="11" t="s">
        <v>1666</v>
      </c>
      <c r="C52" s="14" t="s">
        <v>94</v>
      </c>
      <c r="D52" s="14" t="s">
        <v>6913</v>
      </c>
      <c r="E52" s="128" t="s">
        <v>6834</v>
      </c>
      <c r="F52" s="14" t="s">
        <v>5035</v>
      </c>
      <c r="G52" s="128">
        <v>50.0</v>
      </c>
      <c r="H52" s="128" t="s">
        <v>136</v>
      </c>
    </row>
    <row r="53" ht="37.5" customHeight="1">
      <c r="A53" s="136"/>
      <c r="B53" s="11" t="s">
        <v>914</v>
      </c>
      <c r="C53" s="14" t="s">
        <v>65</v>
      </c>
      <c r="D53" s="14" t="s">
        <v>6914</v>
      </c>
      <c r="E53" s="128" t="s">
        <v>6834</v>
      </c>
      <c r="F53" s="14" t="s">
        <v>6915</v>
      </c>
      <c r="G53" s="128">
        <v>51.0</v>
      </c>
      <c r="H53" s="128" t="s">
        <v>136</v>
      </c>
    </row>
    <row r="54" ht="37.5" customHeight="1">
      <c r="A54" s="248"/>
      <c r="B54" s="11" t="s">
        <v>1704</v>
      </c>
      <c r="C54" s="14" t="s">
        <v>6823</v>
      </c>
      <c r="D54" s="14" t="s">
        <v>6916</v>
      </c>
      <c r="E54" s="249" t="s">
        <v>6825</v>
      </c>
      <c r="F54" s="14" t="s">
        <v>6917</v>
      </c>
      <c r="G54" s="128">
        <v>52.0</v>
      </c>
      <c r="H54" s="128" t="s">
        <v>136</v>
      </c>
    </row>
    <row r="55" ht="37.5" customHeight="1">
      <c r="A55" s="248"/>
      <c r="B55" s="11" t="s">
        <v>1695</v>
      </c>
      <c r="C55" s="14" t="s">
        <v>6823</v>
      </c>
      <c r="D55" s="14" t="s">
        <v>6918</v>
      </c>
      <c r="E55" s="128" t="s">
        <v>6834</v>
      </c>
      <c r="F55" s="14" t="s">
        <v>6919</v>
      </c>
      <c r="G55" s="128">
        <v>53.0</v>
      </c>
      <c r="H55" s="128" t="s">
        <v>136</v>
      </c>
    </row>
    <row r="56" ht="37.5" customHeight="1">
      <c r="A56" s="136"/>
      <c r="B56" s="11" t="s">
        <v>1743</v>
      </c>
      <c r="C56" s="14" t="s">
        <v>157</v>
      </c>
      <c r="D56" s="14" t="s">
        <v>6920</v>
      </c>
      <c r="E56" s="128" t="s">
        <v>6834</v>
      </c>
      <c r="F56" s="14" t="s">
        <v>6822</v>
      </c>
      <c r="G56" s="128">
        <v>54.0</v>
      </c>
      <c r="H56" s="128" t="s">
        <v>136</v>
      </c>
    </row>
    <row r="57" ht="37.5" customHeight="1">
      <c r="A57" s="248"/>
      <c r="B57" s="11" t="s">
        <v>906</v>
      </c>
      <c r="C57" s="14" t="s">
        <v>6823</v>
      </c>
      <c r="D57" s="14" t="s">
        <v>6921</v>
      </c>
      <c r="E57" s="128" t="s">
        <v>6834</v>
      </c>
      <c r="F57" s="14" t="s">
        <v>6822</v>
      </c>
      <c r="G57" s="128">
        <v>55.0</v>
      </c>
      <c r="H57" s="128" t="s">
        <v>136</v>
      </c>
    </row>
    <row r="58" ht="37.5" customHeight="1">
      <c r="A58" s="248"/>
      <c r="B58" s="11" t="s">
        <v>908</v>
      </c>
      <c r="C58" s="14" t="s">
        <v>6823</v>
      </c>
      <c r="D58" s="14" t="s">
        <v>6922</v>
      </c>
      <c r="E58" s="249" t="s">
        <v>6898</v>
      </c>
      <c r="F58" s="14" t="s">
        <v>6923</v>
      </c>
      <c r="G58" s="128">
        <v>56.0</v>
      </c>
      <c r="H58" s="128" t="s">
        <v>136</v>
      </c>
    </row>
    <row r="59" ht="37.5" customHeight="1">
      <c r="A59" s="136"/>
      <c r="B59" s="11" t="s">
        <v>1655</v>
      </c>
      <c r="C59" s="14" t="s">
        <v>94</v>
      </c>
      <c r="D59" s="14" t="s">
        <v>6924</v>
      </c>
      <c r="E59" s="128" t="s">
        <v>6834</v>
      </c>
      <c r="F59" s="14" t="s">
        <v>6925</v>
      </c>
      <c r="G59" s="128">
        <v>57.0</v>
      </c>
      <c r="H59" s="128" t="s">
        <v>167</v>
      </c>
    </row>
    <row r="60" ht="37.5" customHeight="1">
      <c r="A60" s="136"/>
      <c r="B60" s="11" t="s">
        <v>1667</v>
      </c>
      <c r="C60" s="14" t="s">
        <v>94</v>
      </c>
      <c r="D60" s="14" t="s">
        <v>6926</v>
      </c>
      <c r="E60" s="128" t="s">
        <v>6834</v>
      </c>
      <c r="F60" s="14" t="s">
        <v>6927</v>
      </c>
      <c r="G60" s="128">
        <v>58.0</v>
      </c>
      <c r="H60" s="128" t="s">
        <v>167</v>
      </c>
    </row>
    <row r="61" ht="37.5" customHeight="1">
      <c r="A61" s="136"/>
      <c r="B61" s="11" t="s">
        <v>1665</v>
      </c>
      <c r="C61" s="14" t="s">
        <v>94</v>
      </c>
      <c r="D61" s="14" t="s">
        <v>6928</v>
      </c>
      <c r="E61" s="249" t="s">
        <v>6825</v>
      </c>
      <c r="F61" s="14" t="s">
        <v>6929</v>
      </c>
      <c r="G61" s="128">
        <v>59.0</v>
      </c>
      <c r="H61" s="128" t="s">
        <v>167</v>
      </c>
    </row>
    <row r="62" ht="37.5" customHeight="1">
      <c r="A62" s="248"/>
      <c r="B62" s="11" t="s">
        <v>1688</v>
      </c>
      <c r="C62" s="14" t="s">
        <v>6823</v>
      </c>
      <c r="D62" s="14" t="s">
        <v>6930</v>
      </c>
      <c r="E62" s="128" t="s">
        <v>6834</v>
      </c>
      <c r="F62" s="14" t="s">
        <v>6931</v>
      </c>
      <c r="G62" s="128">
        <v>60.0</v>
      </c>
      <c r="H62" s="128" t="s">
        <v>167</v>
      </c>
    </row>
    <row r="63" ht="37.5" customHeight="1">
      <c r="A63" s="136"/>
      <c r="B63" s="11" t="s">
        <v>1661</v>
      </c>
      <c r="C63" s="14" t="s">
        <v>94</v>
      </c>
      <c r="D63" s="14" t="s">
        <v>6932</v>
      </c>
      <c r="E63" s="249" t="s">
        <v>6837</v>
      </c>
      <c r="F63" s="14" t="s">
        <v>6933</v>
      </c>
      <c r="G63" s="128">
        <v>61.0</v>
      </c>
      <c r="H63" s="128" t="s">
        <v>167</v>
      </c>
    </row>
    <row r="64" ht="37.5" customHeight="1">
      <c r="A64" s="136"/>
      <c r="B64" s="11" t="s">
        <v>1728</v>
      </c>
      <c r="C64" s="14" t="s">
        <v>83</v>
      </c>
      <c r="D64" s="14" t="s">
        <v>6934</v>
      </c>
      <c r="E64" s="249" t="s">
        <v>6837</v>
      </c>
      <c r="F64" s="14" t="s">
        <v>6935</v>
      </c>
      <c r="G64" s="128">
        <v>62.0</v>
      </c>
      <c r="H64" s="128" t="s">
        <v>167</v>
      </c>
    </row>
    <row r="65" ht="37.5" customHeight="1">
      <c r="A65" s="136"/>
      <c r="B65" s="11" t="s">
        <v>1729</v>
      </c>
      <c r="C65" s="14" t="s">
        <v>83</v>
      </c>
      <c r="D65" s="14" t="s">
        <v>6936</v>
      </c>
      <c r="E65" s="128" t="s">
        <v>6834</v>
      </c>
      <c r="F65" s="14" t="s">
        <v>6937</v>
      </c>
      <c r="G65" s="128">
        <v>63.0</v>
      </c>
      <c r="H65" s="128" t="s">
        <v>167</v>
      </c>
    </row>
    <row r="66" ht="37.5" customHeight="1">
      <c r="A66" s="136"/>
      <c r="B66" s="11" t="s">
        <v>1739</v>
      </c>
      <c r="C66" s="14" t="s">
        <v>157</v>
      </c>
      <c r="D66" s="14" t="s">
        <v>6938</v>
      </c>
      <c r="E66" s="128" t="s">
        <v>6834</v>
      </c>
      <c r="F66" s="14" t="s">
        <v>6875</v>
      </c>
      <c r="G66" s="128">
        <v>64.0</v>
      </c>
      <c r="H66" s="128" t="s">
        <v>167</v>
      </c>
    </row>
    <row r="67" ht="37.5" customHeight="1">
      <c r="A67" s="136"/>
      <c r="B67" s="11" t="s">
        <v>1710</v>
      </c>
      <c r="C67" s="14" t="s">
        <v>65</v>
      </c>
      <c r="D67" s="250" t="s">
        <v>6939</v>
      </c>
      <c r="E67" s="249" t="s">
        <v>6898</v>
      </c>
      <c r="F67" s="14" t="s">
        <v>6940</v>
      </c>
      <c r="G67" s="128">
        <v>65.0</v>
      </c>
      <c r="H67" s="128" t="s">
        <v>167</v>
      </c>
    </row>
    <row r="68" ht="37.5" customHeight="1">
      <c r="A68" s="136"/>
      <c r="B68" s="11" t="s">
        <v>1736</v>
      </c>
      <c r="C68" s="14" t="s">
        <v>157</v>
      </c>
      <c r="D68" s="14" t="s">
        <v>6941</v>
      </c>
      <c r="E68" s="249" t="s">
        <v>6942</v>
      </c>
      <c r="F68" s="14" t="s">
        <v>6943</v>
      </c>
      <c r="G68" s="128">
        <v>66.0</v>
      </c>
      <c r="H68" s="128" t="s">
        <v>167</v>
      </c>
    </row>
    <row r="69" ht="37.5" customHeight="1">
      <c r="A69" s="136"/>
      <c r="B69" s="11" t="s">
        <v>1734</v>
      </c>
      <c r="C69" s="14" t="s">
        <v>157</v>
      </c>
      <c r="D69" s="14" t="s">
        <v>6944</v>
      </c>
      <c r="E69" s="249" t="s">
        <v>6847</v>
      </c>
      <c r="F69" s="14" t="s">
        <v>6822</v>
      </c>
      <c r="G69" s="128">
        <v>67.0</v>
      </c>
      <c r="H69" s="128" t="s">
        <v>167</v>
      </c>
    </row>
    <row r="70" ht="37.5" customHeight="1">
      <c r="A70" s="251"/>
      <c r="B70" s="11" t="s">
        <v>1697</v>
      </c>
      <c r="C70" s="14" t="s">
        <v>6823</v>
      </c>
      <c r="D70" s="14" t="s">
        <v>6945</v>
      </c>
      <c r="E70" s="249" t="s">
        <v>6837</v>
      </c>
      <c r="F70" s="14" t="s">
        <v>6917</v>
      </c>
      <c r="G70" s="128">
        <v>68.0</v>
      </c>
      <c r="H70" s="128" t="s">
        <v>167</v>
      </c>
    </row>
    <row r="71" ht="37.5" customHeight="1">
      <c r="A71" s="136"/>
      <c r="B71" s="11" t="s">
        <v>1674</v>
      </c>
      <c r="C71" s="14" t="s">
        <v>73</v>
      </c>
      <c r="D71" s="14" t="s">
        <v>6946</v>
      </c>
      <c r="E71" s="128" t="s">
        <v>6834</v>
      </c>
      <c r="F71" s="14" t="s">
        <v>1753</v>
      </c>
      <c r="G71" s="128">
        <v>69.0</v>
      </c>
      <c r="H71" s="128" t="s">
        <v>167</v>
      </c>
    </row>
    <row r="72" ht="37.5" customHeight="1">
      <c r="A72" s="136"/>
      <c r="B72" s="11" t="s">
        <v>1733</v>
      </c>
      <c r="C72" s="14" t="s">
        <v>157</v>
      </c>
      <c r="D72" s="14" t="s">
        <v>6947</v>
      </c>
      <c r="E72" s="128" t="s">
        <v>6948</v>
      </c>
      <c r="F72" s="14" t="s">
        <v>6949</v>
      </c>
      <c r="G72" s="128">
        <v>70.0</v>
      </c>
      <c r="H72" s="128" t="s">
        <v>167</v>
      </c>
    </row>
    <row r="73" ht="37.5" customHeight="1">
      <c r="A73" s="136"/>
      <c r="B73" s="11" t="s">
        <v>1727</v>
      </c>
      <c r="C73" s="14" t="s">
        <v>83</v>
      </c>
      <c r="D73" s="14" t="s">
        <v>6950</v>
      </c>
      <c r="E73" s="128" t="s">
        <v>6834</v>
      </c>
      <c r="F73" s="14" t="s">
        <v>6887</v>
      </c>
      <c r="G73" s="128">
        <v>71.0</v>
      </c>
      <c r="H73" s="128" t="s">
        <v>167</v>
      </c>
    </row>
    <row r="74" ht="37.5" customHeight="1">
      <c r="A74" s="136"/>
      <c r="B74" s="11" t="s">
        <v>1732</v>
      </c>
      <c r="C74" s="14" t="s">
        <v>83</v>
      </c>
      <c r="D74" s="14" t="s">
        <v>6951</v>
      </c>
      <c r="E74" s="128" t="s">
        <v>6834</v>
      </c>
      <c r="F74" s="14" t="s">
        <v>6949</v>
      </c>
      <c r="G74" s="128">
        <v>72.0</v>
      </c>
      <c r="H74" s="128" t="s">
        <v>167</v>
      </c>
    </row>
    <row r="75" ht="37.5" customHeight="1">
      <c r="A75" s="248"/>
      <c r="B75" s="11" t="s">
        <v>1693</v>
      </c>
      <c r="C75" s="14" t="s">
        <v>6823</v>
      </c>
      <c r="D75" s="14" t="s">
        <v>6952</v>
      </c>
      <c r="E75" s="249" t="s">
        <v>6837</v>
      </c>
      <c r="F75" s="14" t="s">
        <v>6917</v>
      </c>
      <c r="G75" s="128">
        <v>73.0</v>
      </c>
      <c r="H75" s="128" t="s">
        <v>167</v>
      </c>
    </row>
    <row r="76" ht="37.5" customHeight="1">
      <c r="A76" s="136"/>
      <c r="B76" s="11" t="s">
        <v>1678</v>
      </c>
      <c r="C76" s="14" t="s">
        <v>73</v>
      </c>
      <c r="D76" s="14" t="s">
        <v>6953</v>
      </c>
      <c r="E76" s="249" t="s">
        <v>6837</v>
      </c>
      <c r="F76" s="14" t="s">
        <v>6864</v>
      </c>
      <c r="G76" s="128">
        <v>74.0</v>
      </c>
      <c r="H76" s="128" t="s">
        <v>167</v>
      </c>
    </row>
    <row r="77" ht="37.5" customHeight="1">
      <c r="A77" s="251"/>
      <c r="B77" s="11" t="s">
        <v>1696</v>
      </c>
      <c r="C77" s="14" t="s">
        <v>6823</v>
      </c>
      <c r="D77" s="14" t="s">
        <v>6954</v>
      </c>
      <c r="E77" s="128" t="s">
        <v>6841</v>
      </c>
      <c r="F77" s="14" t="s">
        <v>6917</v>
      </c>
      <c r="G77" s="128">
        <v>75.0</v>
      </c>
      <c r="H77" s="128" t="s">
        <v>167</v>
      </c>
    </row>
    <row r="78" ht="37.5" customHeight="1">
      <c r="A78" s="136"/>
      <c r="B78" s="11" t="s">
        <v>1686</v>
      </c>
      <c r="C78" s="14" t="s">
        <v>73</v>
      </c>
      <c r="D78" s="14" t="s">
        <v>6955</v>
      </c>
      <c r="E78" s="249" t="s">
        <v>6898</v>
      </c>
      <c r="F78" s="14" t="s">
        <v>6864</v>
      </c>
      <c r="G78" s="128">
        <v>76.0</v>
      </c>
      <c r="H78" s="128" t="s">
        <v>167</v>
      </c>
    </row>
    <row r="79" ht="37.5" customHeight="1">
      <c r="A79" s="136"/>
      <c r="B79" s="11" t="s">
        <v>1659</v>
      </c>
      <c r="C79" s="14" t="s">
        <v>94</v>
      </c>
      <c r="D79" s="14" t="s">
        <v>6956</v>
      </c>
      <c r="E79" s="249" t="s">
        <v>6851</v>
      </c>
      <c r="F79" s="14" t="s">
        <v>6957</v>
      </c>
      <c r="G79" s="128">
        <v>77.0</v>
      </c>
      <c r="H79" s="128" t="s">
        <v>423</v>
      </c>
    </row>
    <row r="80" ht="37.5" customHeight="1">
      <c r="A80" s="136"/>
      <c r="B80" s="11" t="s">
        <v>1658</v>
      </c>
      <c r="C80" s="14" t="s">
        <v>94</v>
      </c>
      <c r="D80" s="14" t="s">
        <v>6958</v>
      </c>
      <c r="E80" s="249" t="s">
        <v>6837</v>
      </c>
      <c r="F80" s="14" t="s">
        <v>6959</v>
      </c>
      <c r="G80" s="128">
        <v>78.0</v>
      </c>
      <c r="H80" s="128" t="s">
        <v>423</v>
      </c>
    </row>
    <row r="81" ht="37.5" customHeight="1">
      <c r="A81" s="136"/>
      <c r="B81" s="11" t="s">
        <v>1676</v>
      </c>
      <c r="C81" s="14" t="s">
        <v>73</v>
      </c>
      <c r="D81" s="14" t="s">
        <v>6960</v>
      </c>
      <c r="E81" s="249" t="s">
        <v>6837</v>
      </c>
      <c r="F81" s="14" t="s">
        <v>6961</v>
      </c>
      <c r="G81" s="128">
        <v>79.0</v>
      </c>
      <c r="H81" s="128" t="s">
        <v>423</v>
      </c>
    </row>
    <row r="82" ht="37.5" customHeight="1">
      <c r="A82" s="136"/>
      <c r="B82" s="11" t="s">
        <v>1657</v>
      </c>
      <c r="C82" s="14" t="s">
        <v>94</v>
      </c>
      <c r="D82" s="14" t="s">
        <v>6962</v>
      </c>
      <c r="E82" s="249" t="s">
        <v>6825</v>
      </c>
      <c r="F82" s="14" t="s">
        <v>6963</v>
      </c>
      <c r="G82" s="128">
        <v>80.0</v>
      </c>
      <c r="H82" s="128" t="s">
        <v>423</v>
      </c>
    </row>
    <row r="83" ht="37.5" customHeight="1">
      <c r="A83" s="136"/>
      <c r="B83" s="11" t="s">
        <v>1684</v>
      </c>
      <c r="C83" s="14" t="s">
        <v>73</v>
      </c>
      <c r="D83" s="14" t="s">
        <v>6964</v>
      </c>
      <c r="E83" s="128" t="s">
        <v>6821</v>
      </c>
      <c r="F83" s="14" t="s">
        <v>6965</v>
      </c>
      <c r="G83" s="128">
        <v>81.0</v>
      </c>
      <c r="H83" s="128" t="s">
        <v>423</v>
      </c>
    </row>
    <row r="84" ht="37.5" customHeight="1">
      <c r="A84" s="248"/>
      <c r="B84" s="11" t="s">
        <v>1692</v>
      </c>
      <c r="C84" s="14" t="s">
        <v>6823</v>
      </c>
      <c r="D84" s="14" t="s">
        <v>6966</v>
      </c>
      <c r="E84" s="249" t="s">
        <v>6847</v>
      </c>
      <c r="F84" s="14" t="s">
        <v>6967</v>
      </c>
      <c r="G84" s="128">
        <v>82.0</v>
      </c>
      <c r="H84" s="128" t="s">
        <v>423</v>
      </c>
    </row>
    <row r="85" ht="37.5" customHeight="1">
      <c r="A85" s="248"/>
      <c r="B85" s="11" t="s">
        <v>1699</v>
      </c>
      <c r="C85" s="14" t="s">
        <v>6823</v>
      </c>
      <c r="D85" s="14" t="s">
        <v>6968</v>
      </c>
      <c r="E85" s="249" t="s">
        <v>6851</v>
      </c>
      <c r="F85" s="14" t="s">
        <v>6919</v>
      </c>
      <c r="G85" s="128">
        <v>83.0</v>
      </c>
      <c r="H85" s="128" t="s">
        <v>423</v>
      </c>
    </row>
    <row r="86" ht="37.5" customHeight="1">
      <c r="A86" s="136"/>
      <c r="B86" s="11" t="s">
        <v>1735</v>
      </c>
      <c r="C86" s="14" t="s">
        <v>157</v>
      </c>
      <c r="D86" s="14" t="s">
        <v>6969</v>
      </c>
      <c r="E86" s="128" t="s">
        <v>6834</v>
      </c>
      <c r="F86" s="14" t="s">
        <v>6822</v>
      </c>
      <c r="G86" s="128">
        <v>84.0</v>
      </c>
      <c r="H86" s="128" t="s">
        <v>423</v>
      </c>
    </row>
    <row r="87" ht="37.5" customHeight="1">
      <c r="A87" s="136"/>
      <c r="B87" s="11" t="s">
        <v>1662</v>
      </c>
      <c r="C87" s="14" t="s">
        <v>94</v>
      </c>
      <c r="D87" s="14" t="s">
        <v>6970</v>
      </c>
      <c r="E87" s="249" t="s">
        <v>6898</v>
      </c>
      <c r="F87" s="14" t="s">
        <v>6959</v>
      </c>
      <c r="G87" s="128">
        <v>85.0</v>
      </c>
      <c r="H87" s="128" t="s">
        <v>423</v>
      </c>
    </row>
    <row r="88" ht="37.5" customHeight="1">
      <c r="A88" s="136"/>
      <c r="B88" s="11" t="s">
        <v>1656</v>
      </c>
      <c r="C88" s="14" t="s">
        <v>94</v>
      </c>
      <c r="D88" s="14" t="s">
        <v>6971</v>
      </c>
      <c r="E88" s="249" t="s">
        <v>6972</v>
      </c>
      <c r="F88" s="14" t="s">
        <v>5792</v>
      </c>
      <c r="G88" s="128">
        <v>86.0</v>
      </c>
      <c r="H88" s="128" t="s">
        <v>423</v>
      </c>
    </row>
    <row r="89" ht="37.5" customHeight="1">
      <c r="A89" s="136"/>
      <c r="B89" s="11" t="s">
        <v>1730</v>
      </c>
      <c r="C89" s="14" t="s">
        <v>83</v>
      </c>
      <c r="D89" s="14" t="s">
        <v>6973</v>
      </c>
      <c r="E89" s="249" t="s">
        <v>6837</v>
      </c>
      <c r="F89" s="14" t="s">
        <v>6974</v>
      </c>
      <c r="G89" s="128">
        <v>87.0</v>
      </c>
      <c r="H89" s="128" t="s">
        <v>423</v>
      </c>
    </row>
    <row r="90" ht="37.5" customHeight="1">
      <c r="A90" s="136"/>
      <c r="B90" s="11" t="s">
        <v>913</v>
      </c>
      <c r="C90" s="14" t="s">
        <v>65</v>
      </c>
      <c r="D90" s="14" t="s">
        <v>6975</v>
      </c>
      <c r="E90" s="128" t="s">
        <v>6834</v>
      </c>
      <c r="F90" s="14" t="s">
        <v>6976</v>
      </c>
      <c r="G90" s="128">
        <v>88.0</v>
      </c>
      <c r="H90" s="128" t="s">
        <v>447</v>
      </c>
    </row>
    <row r="91" ht="37.5" customHeight="1">
      <c r="A91" s="136"/>
      <c r="B91" s="11" t="s">
        <v>1716</v>
      </c>
      <c r="C91" s="14" t="s">
        <v>65</v>
      </c>
      <c r="D91" s="250" t="s">
        <v>6977</v>
      </c>
      <c r="E91" s="128" t="s">
        <v>6834</v>
      </c>
      <c r="F91" s="14" t="s">
        <v>6978</v>
      </c>
      <c r="G91" s="128">
        <v>89.0</v>
      </c>
      <c r="H91" s="128" t="s">
        <v>447</v>
      </c>
    </row>
    <row r="92" ht="37.5" customHeight="1">
      <c r="A92" s="136"/>
      <c r="B92" s="11" t="s">
        <v>1708</v>
      </c>
      <c r="C92" s="14" t="s">
        <v>65</v>
      </c>
      <c r="D92" s="14" t="s">
        <v>6979</v>
      </c>
      <c r="E92" s="249" t="s">
        <v>6851</v>
      </c>
      <c r="F92" s="14" t="s">
        <v>6976</v>
      </c>
      <c r="G92" s="128">
        <v>90.0</v>
      </c>
      <c r="H92" s="128" t="s">
        <v>447</v>
      </c>
    </row>
    <row r="93" ht="37.5" customHeight="1">
      <c r="A93" s="136"/>
      <c r="B93" s="11" t="s">
        <v>1745</v>
      </c>
      <c r="C93" s="14" t="s">
        <v>157</v>
      </c>
      <c r="D93" s="14" t="s">
        <v>6980</v>
      </c>
      <c r="E93" s="128" t="s">
        <v>6834</v>
      </c>
      <c r="F93" s="14" t="s">
        <v>6981</v>
      </c>
      <c r="G93" s="128">
        <v>91.0</v>
      </c>
      <c r="H93" s="128" t="s">
        <v>447</v>
      </c>
    </row>
    <row r="94" ht="37.5" customHeight="1">
      <c r="A94" s="136"/>
      <c r="B94" s="11" t="s">
        <v>1711</v>
      </c>
      <c r="C94" s="14" t="s">
        <v>65</v>
      </c>
      <c r="D94" s="250" t="s">
        <v>6982</v>
      </c>
      <c r="E94" s="128" t="s">
        <v>6860</v>
      </c>
      <c r="F94" s="14" t="s">
        <v>6978</v>
      </c>
      <c r="G94" s="128">
        <v>92.0</v>
      </c>
      <c r="H94" s="128" t="s">
        <v>447</v>
      </c>
    </row>
    <row r="95" ht="37.5" customHeight="1">
      <c r="A95" s="136"/>
      <c r="B95" s="11" t="s">
        <v>910</v>
      </c>
      <c r="C95" s="14" t="s">
        <v>65</v>
      </c>
      <c r="D95" s="14" t="s">
        <v>6983</v>
      </c>
      <c r="E95" s="249" t="s">
        <v>6847</v>
      </c>
      <c r="F95" s="14" t="s">
        <v>6976</v>
      </c>
      <c r="G95" s="128">
        <v>93.0</v>
      </c>
      <c r="H95" s="128" t="s">
        <v>447</v>
      </c>
    </row>
    <row r="96" ht="37.5" customHeight="1">
      <c r="A96" s="136"/>
      <c r="B96" s="11" t="s">
        <v>1723</v>
      </c>
      <c r="C96" s="14" t="s">
        <v>83</v>
      </c>
      <c r="D96" s="14" t="s">
        <v>6984</v>
      </c>
      <c r="E96" s="249" t="s">
        <v>6847</v>
      </c>
      <c r="F96" s="14" t="s">
        <v>5110</v>
      </c>
      <c r="G96" s="128">
        <v>94.0</v>
      </c>
      <c r="H96" s="128" t="s">
        <v>447</v>
      </c>
    </row>
    <row r="97" ht="37.5" customHeight="1">
      <c r="A97" s="136"/>
      <c r="B97" s="11" t="s">
        <v>1672</v>
      </c>
      <c r="C97" s="14" t="s">
        <v>73</v>
      </c>
      <c r="D97" s="14" t="s">
        <v>6985</v>
      </c>
      <c r="E97" s="249" t="s">
        <v>6851</v>
      </c>
      <c r="F97" s="14" t="s">
        <v>6986</v>
      </c>
      <c r="G97" s="128">
        <v>95.0</v>
      </c>
      <c r="H97" s="128" t="s">
        <v>447</v>
      </c>
    </row>
    <row r="98" ht="37.5" customHeight="1">
      <c r="A98" s="136"/>
      <c r="B98" s="11" t="s">
        <v>1720</v>
      </c>
      <c r="C98" s="14" t="s">
        <v>83</v>
      </c>
      <c r="D98" s="14" t="s">
        <v>6987</v>
      </c>
      <c r="E98" s="249" t="s">
        <v>6898</v>
      </c>
      <c r="F98" s="14" t="s">
        <v>6988</v>
      </c>
      <c r="G98" s="128">
        <v>96.0</v>
      </c>
      <c r="H98" s="128" t="s">
        <v>447</v>
      </c>
    </row>
    <row r="99" ht="37.5" customHeight="1">
      <c r="A99" s="136"/>
      <c r="B99" s="11" t="s">
        <v>1740</v>
      </c>
      <c r="C99" s="14" t="s">
        <v>157</v>
      </c>
      <c r="D99" s="14" t="s">
        <v>6989</v>
      </c>
      <c r="E99" s="128" t="s">
        <v>6834</v>
      </c>
      <c r="F99" s="14" t="s">
        <v>5792</v>
      </c>
      <c r="G99" s="128">
        <v>97.0</v>
      </c>
      <c r="H99" s="128" t="s">
        <v>447</v>
      </c>
    </row>
    <row r="100" ht="37.5" customHeight="1">
      <c r="A100" s="136"/>
      <c r="B100" s="11" t="s">
        <v>1712</v>
      </c>
      <c r="C100" s="14" t="s">
        <v>65</v>
      </c>
      <c r="D100" s="250" t="s">
        <v>6990</v>
      </c>
      <c r="E100" s="128" t="s">
        <v>6834</v>
      </c>
      <c r="F100" s="14" t="s">
        <v>5792</v>
      </c>
      <c r="G100" s="128">
        <v>98.0</v>
      </c>
      <c r="H100" s="128" t="s">
        <v>447</v>
      </c>
    </row>
    <row r="101" ht="37.5" customHeight="1">
      <c r="A101" s="136"/>
      <c r="B101" s="11" t="s">
        <v>1713</v>
      </c>
      <c r="C101" s="14" t="s">
        <v>65</v>
      </c>
      <c r="D101" s="14" t="s">
        <v>6991</v>
      </c>
      <c r="E101" s="128" t="s">
        <v>6834</v>
      </c>
      <c r="F101" s="14" t="s">
        <v>5792</v>
      </c>
      <c r="G101" s="128">
        <v>99.0</v>
      </c>
      <c r="H101" s="128" t="s">
        <v>447</v>
      </c>
    </row>
  </sheetData>
  <autoFilter ref="$A$2:$H$101">
    <sortState ref="A2:H101">
      <sortCondition ref="G2:G101"/>
      <sortCondition ref="C2:C101"/>
      <sortCondition ref="B2:B101"/>
      <sortCondition ref="H2:H101"/>
    </sortState>
  </autoFilter>
  <mergeCells count="2">
    <mergeCell ref="A1:E1"/>
    <mergeCell ref="F1:H1"/>
  </mergeCells>
  <conditionalFormatting sqref="H4 H33 H81 H83:H87 H89:H101">
    <cfRule type="cellIs" dxfId="25" priority="1" operator="equal">
      <formula>"G"</formula>
    </cfRule>
  </conditionalFormatting>
  <conditionalFormatting sqref="H4 H33 H81 H83:H87 H89:H101">
    <cfRule type="cellIs" dxfId="28" priority="2" operator="equal">
      <formula>"H"</formula>
    </cfRule>
  </conditionalFormatting>
  <conditionalFormatting sqref="C3:C101">
    <cfRule type="cellIs" dxfId="17" priority="3" operator="equal">
      <formula>"Strand"</formula>
    </cfRule>
  </conditionalFormatting>
  <conditionalFormatting sqref="C3:C101">
    <cfRule type="cellIs" dxfId="29" priority="4" operator="equal">
      <formula>"Stasis"</formula>
    </cfRule>
  </conditionalFormatting>
  <conditionalFormatting sqref="C3:C101">
    <cfRule type="cellIs" dxfId="20" priority="5" operator="equal">
      <formula>"Arc"</formula>
    </cfRule>
  </conditionalFormatting>
  <conditionalFormatting sqref="C3:C101">
    <cfRule type="cellIs" dxfId="13" priority="6" operator="equal">
      <formula>"Solar"</formula>
    </cfRule>
  </conditionalFormatting>
  <conditionalFormatting sqref="C3:C101">
    <cfRule type="cellIs" dxfId="18" priority="7" operator="equal">
      <formula>"Void"</formula>
    </cfRule>
  </conditionalFormatting>
  <conditionalFormatting sqref="C3:C101">
    <cfRule type="cellIs" dxfId="30" priority="8" operator="equal">
      <formula>"Prismatic"</formula>
    </cfRule>
  </conditionalFormatting>
  <conditionalFormatting sqref="H3:H101">
    <cfRule type="cellIs" dxfId="3" priority="9" operator="equal">
      <formula>"F"</formula>
    </cfRule>
  </conditionalFormatting>
  <conditionalFormatting sqref="H3:H101">
    <cfRule type="cellIs" dxfId="4" priority="10" operator="equal">
      <formula>"E"</formula>
    </cfRule>
  </conditionalFormatting>
  <conditionalFormatting sqref="H3:H101">
    <cfRule type="cellIs" dxfId="5" priority="11" operator="equal">
      <formula>"S"</formula>
    </cfRule>
  </conditionalFormatting>
  <conditionalFormatting sqref="H3:H101">
    <cfRule type="cellIs" dxfId="6" priority="12" operator="equal">
      <formula>"B"</formula>
    </cfRule>
  </conditionalFormatting>
  <conditionalFormatting sqref="H3:H101">
    <cfRule type="cellIs" dxfId="7" priority="13" operator="equal">
      <formula>"D"</formula>
    </cfRule>
  </conditionalFormatting>
  <conditionalFormatting sqref="H3:H101">
    <cfRule type="cellIs" dxfId="8" priority="14" operator="equal">
      <formula>"C"</formula>
    </cfRule>
  </conditionalFormatting>
  <conditionalFormatting sqref="H3:H101">
    <cfRule type="cellIs" dxfId="9" priority="15" operator="equal">
      <formula>"A"</formula>
    </cfRule>
  </conditionalFormatting>
  <conditionalFormatting sqref="G3:H101">
    <cfRule type="colorScale" priority="1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3:E101">
    <cfRule type="containsText" dxfId="17" priority="17" operator="containsText" text="+">
      <formula>NOT(ISERROR(SEARCH(("+"),(E3))))</formula>
    </cfRule>
  </conditionalFormatting>
  <conditionalFormatting sqref="E3:E101">
    <cfRule type="containsText" dxfId="2" priority="18" operator="containsText" text="-">
      <formula>NOT(ISERROR(SEARCH(("-"),(E3))))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2.5"/>
    <col customWidth="1" min="3" max="3" width="9.5"/>
    <col customWidth="1" min="4" max="4" width="5.75"/>
    <col customWidth="1" min="5" max="5" width="6.13"/>
    <col customWidth="1" min="6" max="6" width="56.25"/>
    <col customWidth="1" min="7" max="7" width="27.75"/>
    <col customWidth="1" min="8" max="8" width="6.88"/>
    <col customWidth="1" min="9" max="9" width="6.13"/>
  </cols>
  <sheetData>
    <row r="1" ht="16.5" customHeight="1">
      <c r="A1" s="190" t="s">
        <v>1979</v>
      </c>
      <c r="G1" s="192" t="s">
        <v>2061</v>
      </c>
    </row>
    <row r="2" ht="16.5" customHeight="1">
      <c r="A2" s="126" t="s">
        <v>1781</v>
      </c>
      <c r="B2" s="126" t="s">
        <v>54</v>
      </c>
      <c r="C2" s="194" t="s">
        <v>6818</v>
      </c>
      <c r="D2" s="194" t="s">
        <v>2208</v>
      </c>
      <c r="E2" s="252" t="s">
        <v>406</v>
      </c>
      <c r="F2" s="194" t="s">
        <v>2204</v>
      </c>
      <c r="G2" s="195" t="s">
        <v>4625</v>
      </c>
      <c r="H2" s="195" t="s">
        <v>2422</v>
      </c>
      <c r="I2" s="195" t="s">
        <v>63</v>
      </c>
    </row>
    <row r="3" ht="37.5" customHeight="1">
      <c r="A3" s="13"/>
      <c r="B3" s="11" t="s">
        <v>1757</v>
      </c>
      <c r="C3" s="14" t="s">
        <v>94</v>
      </c>
      <c r="D3" s="14" t="s">
        <v>5239</v>
      </c>
      <c r="E3" s="14">
        <v>2.0</v>
      </c>
      <c r="F3" s="14" t="s">
        <v>6992</v>
      </c>
      <c r="G3" s="128" t="s">
        <v>6993</v>
      </c>
      <c r="H3" s="128">
        <v>1.0</v>
      </c>
      <c r="I3" s="128" t="s">
        <v>71</v>
      </c>
    </row>
    <row r="4" ht="37.5" customHeight="1">
      <c r="A4" s="13"/>
      <c r="B4" s="11" t="s">
        <v>6994</v>
      </c>
      <c r="C4" s="14" t="s">
        <v>65</v>
      </c>
      <c r="D4" s="14" t="s">
        <v>911</v>
      </c>
      <c r="E4" s="14">
        <v>2.0</v>
      </c>
      <c r="F4" s="14" t="s">
        <v>6995</v>
      </c>
      <c r="G4" s="128" t="s">
        <v>6996</v>
      </c>
      <c r="H4" s="128">
        <v>2.0</v>
      </c>
      <c r="I4" s="128" t="s">
        <v>71</v>
      </c>
    </row>
    <row r="5" ht="37.5" customHeight="1">
      <c r="A5" s="13"/>
      <c r="B5" s="11" t="s">
        <v>6997</v>
      </c>
      <c r="C5" s="14" t="s">
        <v>73</v>
      </c>
      <c r="D5" s="14" t="s">
        <v>911</v>
      </c>
      <c r="E5" s="14">
        <v>2.0</v>
      </c>
      <c r="F5" s="14"/>
      <c r="G5" s="128"/>
      <c r="H5" s="128"/>
      <c r="I5" s="128"/>
    </row>
    <row r="6" ht="37.5" customHeight="1">
      <c r="A6" s="13"/>
      <c r="B6" s="11" t="s">
        <v>6998</v>
      </c>
      <c r="C6" s="14" t="s">
        <v>94</v>
      </c>
      <c r="D6" s="14" t="s">
        <v>5239</v>
      </c>
      <c r="E6" s="14">
        <v>3.0</v>
      </c>
      <c r="F6" s="14"/>
      <c r="G6" s="128"/>
      <c r="H6" s="128"/>
      <c r="I6" s="128"/>
    </row>
    <row r="7" ht="37.5" customHeight="1">
      <c r="A7" s="13"/>
      <c r="B7" s="11" t="s">
        <v>6999</v>
      </c>
      <c r="C7" s="14" t="s">
        <v>73</v>
      </c>
      <c r="D7" s="14" t="s">
        <v>5236</v>
      </c>
      <c r="E7" s="14">
        <v>3.0</v>
      </c>
      <c r="F7" s="14"/>
      <c r="G7" s="128"/>
      <c r="H7" s="128"/>
      <c r="I7" s="128"/>
    </row>
    <row r="8" ht="37.5" customHeight="1">
      <c r="A8" s="13"/>
      <c r="B8" s="11" t="s">
        <v>7000</v>
      </c>
      <c r="C8" s="14" t="s">
        <v>94</v>
      </c>
      <c r="D8" s="14" t="s">
        <v>5236</v>
      </c>
      <c r="E8" s="14">
        <v>2.0</v>
      </c>
      <c r="F8" s="14" t="s">
        <v>7001</v>
      </c>
      <c r="G8" s="128" t="s">
        <v>7002</v>
      </c>
      <c r="H8" s="128">
        <v>3.0</v>
      </c>
      <c r="I8" s="128" t="s">
        <v>71</v>
      </c>
    </row>
    <row r="9" ht="37.5" customHeight="1">
      <c r="A9" s="253"/>
      <c r="B9" s="11" t="s">
        <v>1780</v>
      </c>
      <c r="C9" s="14" t="s">
        <v>157</v>
      </c>
      <c r="D9" s="14" t="s">
        <v>911</v>
      </c>
      <c r="E9" s="14">
        <v>2.0</v>
      </c>
      <c r="F9" s="14" t="s">
        <v>7003</v>
      </c>
      <c r="G9" s="128" t="s">
        <v>7004</v>
      </c>
      <c r="H9" s="128">
        <v>4.0</v>
      </c>
      <c r="I9" s="128" t="s">
        <v>71</v>
      </c>
    </row>
    <row r="10" ht="37.5" customHeight="1">
      <c r="A10" s="13"/>
      <c r="B10" s="11" t="s">
        <v>7005</v>
      </c>
      <c r="C10" s="14" t="s">
        <v>83</v>
      </c>
      <c r="D10" s="14" t="s">
        <v>5236</v>
      </c>
      <c r="E10" s="14">
        <v>2.0</v>
      </c>
      <c r="F10" s="14" t="s">
        <v>7006</v>
      </c>
      <c r="G10" s="128" t="s">
        <v>7007</v>
      </c>
      <c r="H10" s="128">
        <v>5.0</v>
      </c>
      <c r="I10" s="128" t="s">
        <v>71</v>
      </c>
    </row>
    <row r="11" ht="37.5" customHeight="1">
      <c r="A11" s="13"/>
      <c r="B11" s="11" t="s">
        <v>1750</v>
      </c>
      <c r="C11" s="14" t="s">
        <v>65</v>
      </c>
      <c r="D11" s="14" t="s">
        <v>911</v>
      </c>
      <c r="E11" s="14" t="s">
        <v>7008</v>
      </c>
      <c r="F11" s="14" t="s">
        <v>7009</v>
      </c>
      <c r="G11" s="128" t="s">
        <v>7010</v>
      </c>
      <c r="H11" s="128">
        <v>6.0</v>
      </c>
      <c r="I11" s="128" t="s">
        <v>71</v>
      </c>
    </row>
    <row r="12" ht="37.5" customHeight="1">
      <c r="A12" s="13"/>
      <c r="B12" s="11" t="s">
        <v>7011</v>
      </c>
      <c r="C12" s="14" t="s">
        <v>73</v>
      </c>
      <c r="D12" s="14" t="s">
        <v>5236</v>
      </c>
      <c r="E12" s="14">
        <v>2.0</v>
      </c>
      <c r="F12" s="14" t="s">
        <v>7012</v>
      </c>
      <c r="G12" s="128" t="s">
        <v>7013</v>
      </c>
      <c r="H12" s="128">
        <v>7.0</v>
      </c>
      <c r="I12" s="128" t="s">
        <v>71</v>
      </c>
    </row>
    <row r="13" ht="37.5" customHeight="1">
      <c r="A13" s="13"/>
      <c r="B13" s="11" t="s">
        <v>1766</v>
      </c>
      <c r="C13" s="14" t="s">
        <v>65</v>
      </c>
      <c r="D13" s="14" t="s">
        <v>5236</v>
      </c>
      <c r="E13" s="14">
        <v>2.0</v>
      </c>
      <c r="F13" s="14" t="s">
        <v>7014</v>
      </c>
      <c r="G13" s="128" t="s">
        <v>7015</v>
      </c>
      <c r="H13" s="128">
        <v>8.0</v>
      </c>
      <c r="I13" s="128" t="s">
        <v>71</v>
      </c>
    </row>
    <row r="14" ht="37.5" customHeight="1">
      <c r="A14" s="13"/>
      <c r="B14" s="11" t="s">
        <v>1779</v>
      </c>
      <c r="C14" s="14" t="s">
        <v>83</v>
      </c>
      <c r="D14" s="14" t="s">
        <v>5239</v>
      </c>
      <c r="E14" s="14">
        <v>2.0</v>
      </c>
      <c r="F14" s="14" t="s">
        <v>7016</v>
      </c>
      <c r="G14" s="128" t="s">
        <v>7017</v>
      </c>
      <c r="H14" s="128">
        <v>9.0</v>
      </c>
      <c r="I14" s="128" t="s">
        <v>92</v>
      </c>
    </row>
    <row r="15" ht="37.5" customHeight="1">
      <c r="A15" s="13"/>
      <c r="B15" s="11" t="s">
        <v>1753</v>
      </c>
      <c r="C15" s="14" t="s">
        <v>73</v>
      </c>
      <c r="D15" s="14" t="s">
        <v>5236</v>
      </c>
      <c r="E15" s="14" t="s">
        <v>7018</v>
      </c>
      <c r="F15" s="14" t="s">
        <v>7019</v>
      </c>
      <c r="G15" s="128" t="s">
        <v>7020</v>
      </c>
      <c r="H15" s="128">
        <v>10.0</v>
      </c>
      <c r="I15" s="128" t="s">
        <v>92</v>
      </c>
    </row>
    <row r="16" ht="37.5" customHeight="1">
      <c r="A16" s="13"/>
      <c r="B16" s="11" t="s">
        <v>1772</v>
      </c>
      <c r="C16" s="14" t="s">
        <v>94</v>
      </c>
      <c r="D16" s="14" t="s">
        <v>911</v>
      </c>
      <c r="E16" s="14">
        <v>2.0</v>
      </c>
      <c r="F16" s="14" t="s">
        <v>7021</v>
      </c>
      <c r="G16" s="128" t="s">
        <v>7022</v>
      </c>
      <c r="H16" s="128">
        <v>11.0</v>
      </c>
      <c r="I16" s="128" t="s">
        <v>92</v>
      </c>
    </row>
    <row r="17" ht="37.5" customHeight="1">
      <c r="A17" s="13"/>
      <c r="B17" s="11" t="s">
        <v>1774</v>
      </c>
      <c r="C17" s="14" t="s">
        <v>83</v>
      </c>
      <c r="D17" s="14" t="s">
        <v>911</v>
      </c>
      <c r="E17" s="128">
        <v>3.0</v>
      </c>
      <c r="F17" s="14" t="s">
        <v>7023</v>
      </c>
      <c r="G17" s="128" t="s">
        <v>7024</v>
      </c>
      <c r="H17" s="128">
        <v>12.0</v>
      </c>
      <c r="I17" s="128" t="s">
        <v>92</v>
      </c>
    </row>
    <row r="18" ht="37.5" customHeight="1">
      <c r="A18" s="13"/>
      <c r="B18" s="11" t="s">
        <v>1770</v>
      </c>
      <c r="C18" s="14" t="s">
        <v>73</v>
      </c>
      <c r="D18" s="14" t="s">
        <v>911</v>
      </c>
      <c r="E18" s="14">
        <v>3.0</v>
      </c>
      <c r="F18" s="14" t="s">
        <v>7025</v>
      </c>
      <c r="G18" s="128" t="s">
        <v>7026</v>
      </c>
      <c r="H18" s="128">
        <v>13.0</v>
      </c>
      <c r="I18" s="128" t="s">
        <v>92</v>
      </c>
    </row>
    <row r="19" ht="37.5" customHeight="1">
      <c r="A19" s="13"/>
      <c r="B19" s="11" t="s">
        <v>1762</v>
      </c>
      <c r="C19" s="14" t="s">
        <v>73</v>
      </c>
      <c r="D19" s="14" t="s">
        <v>911</v>
      </c>
      <c r="E19" s="14" t="s">
        <v>7027</v>
      </c>
      <c r="F19" s="14" t="s">
        <v>7028</v>
      </c>
      <c r="G19" s="128" t="s">
        <v>7029</v>
      </c>
      <c r="H19" s="128">
        <v>14.0</v>
      </c>
      <c r="I19" s="128" t="s">
        <v>92</v>
      </c>
    </row>
    <row r="20" ht="37.5" customHeight="1">
      <c r="A20" s="14"/>
      <c r="B20" s="11" t="s">
        <v>771</v>
      </c>
      <c r="C20" s="14" t="s">
        <v>65</v>
      </c>
      <c r="D20" s="14" t="s">
        <v>5236</v>
      </c>
      <c r="E20" s="128">
        <v>2.0</v>
      </c>
      <c r="F20" s="14" t="s">
        <v>7030</v>
      </c>
      <c r="G20" s="128" t="s">
        <v>7031</v>
      </c>
      <c r="H20" s="128">
        <v>15.0</v>
      </c>
      <c r="I20" s="128" t="s">
        <v>92</v>
      </c>
    </row>
    <row r="21" ht="37.5" customHeight="1">
      <c r="A21" s="13"/>
      <c r="B21" s="11" t="s">
        <v>7032</v>
      </c>
      <c r="C21" s="14" t="s">
        <v>83</v>
      </c>
      <c r="D21" s="14" t="s">
        <v>5236</v>
      </c>
      <c r="E21" s="14">
        <v>2.0</v>
      </c>
      <c r="F21" s="14" t="s">
        <v>7033</v>
      </c>
      <c r="G21" s="128" t="s">
        <v>7034</v>
      </c>
      <c r="H21" s="128">
        <v>16.0</v>
      </c>
      <c r="I21" s="128" t="s">
        <v>92</v>
      </c>
    </row>
    <row r="22" ht="37.5" customHeight="1">
      <c r="A22" s="13"/>
      <c r="B22" s="11" t="s">
        <v>7035</v>
      </c>
      <c r="C22" s="14" t="s">
        <v>65</v>
      </c>
      <c r="D22" s="14" t="s">
        <v>911</v>
      </c>
      <c r="E22" s="14">
        <v>2.0</v>
      </c>
      <c r="F22" s="14" t="s">
        <v>7036</v>
      </c>
      <c r="G22" s="128" t="s">
        <v>7037</v>
      </c>
      <c r="H22" s="128">
        <v>17.0</v>
      </c>
      <c r="I22" s="128" t="s">
        <v>92</v>
      </c>
    </row>
    <row r="23" ht="37.5" customHeight="1">
      <c r="A23" s="13"/>
      <c r="B23" s="11" t="s">
        <v>1767</v>
      </c>
      <c r="C23" s="14" t="s">
        <v>65</v>
      </c>
      <c r="D23" s="14" t="s">
        <v>5239</v>
      </c>
      <c r="E23" s="14">
        <v>2.0</v>
      </c>
      <c r="F23" s="14" t="s">
        <v>7038</v>
      </c>
      <c r="G23" s="128" t="s">
        <v>7039</v>
      </c>
      <c r="H23" s="128">
        <v>18.0</v>
      </c>
      <c r="I23" s="128" t="s">
        <v>120</v>
      </c>
    </row>
    <row r="24" ht="37.5" customHeight="1">
      <c r="A24" s="13"/>
      <c r="B24" s="11" t="s">
        <v>7040</v>
      </c>
      <c r="C24" s="14" t="s">
        <v>73</v>
      </c>
      <c r="D24" s="14" t="s">
        <v>5236</v>
      </c>
      <c r="E24" s="14">
        <v>2.0</v>
      </c>
      <c r="F24" s="14" t="s">
        <v>7041</v>
      </c>
      <c r="G24" s="128" t="s">
        <v>7042</v>
      </c>
      <c r="H24" s="128">
        <v>19.0</v>
      </c>
      <c r="I24" s="128" t="s">
        <v>120</v>
      </c>
    </row>
    <row r="25" ht="37.5" customHeight="1">
      <c r="A25" s="13"/>
      <c r="B25" s="11" t="s">
        <v>7043</v>
      </c>
      <c r="C25" s="14" t="s">
        <v>73</v>
      </c>
      <c r="D25" s="14" t="s">
        <v>5239</v>
      </c>
      <c r="E25" s="14">
        <v>2.0</v>
      </c>
      <c r="F25" s="14" t="s">
        <v>7044</v>
      </c>
      <c r="G25" s="128" t="s">
        <v>7045</v>
      </c>
      <c r="H25" s="128">
        <v>20.0</v>
      </c>
      <c r="I25" s="128" t="s">
        <v>120</v>
      </c>
    </row>
    <row r="26" ht="37.5" customHeight="1">
      <c r="A26" s="13"/>
      <c r="B26" s="11" t="s">
        <v>1775</v>
      </c>
      <c r="C26" s="14" t="s">
        <v>65</v>
      </c>
      <c r="D26" s="14" t="s">
        <v>5236</v>
      </c>
      <c r="E26" s="14">
        <v>2.0</v>
      </c>
      <c r="F26" s="14" t="s">
        <v>7046</v>
      </c>
      <c r="G26" s="128" t="s">
        <v>7047</v>
      </c>
      <c r="H26" s="128">
        <v>21.0</v>
      </c>
      <c r="I26" s="128" t="s">
        <v>120</v>
      </c>
    </row>
    <row r="27" ht="37.5" customHeight="1">
      <c r="A27" s="13"/>
      <c r="B27" s="11" t="s">
        <v>1768</v>
      </c>
      <c r="C27" s="14" t="s">
        <v>83</v>
      </c>
      <c r="D27" s="14" t="s">
        <v>5239</v>
      </c>
      <c r="E27" s="14">
        <v>2.0</v>
      </c>
      <c r="F27" s="14" t="s">
        <v>7048</v>
      </c>
      <c r="G27" s="128" t="s">
        <v>7049</v>
      </c>
      <c r="H27" s="128">
        <v>22.0</v>
      </c>
      <c r="I27" s="128" t="s">
        <v>120</v>
      </c>
    </row>
    <row r="28" ht="37.5" customHeight="1">
      <c r="A28" s="253"/>
      <c r="B28" s="11" t="s">
        <v>7050</v>
      </c>
      <c r="C28" s="14" t="s">
        <v>157</v>
      </c>
      <c r="D28" s="14" t="s">
        <v>5239</v>
      </c>
      <c r="E28" s="14">
        <v>2.0</v>
      </c>
      <c r="F28" s="14" t="s">
        <v>7051</v>
      </c>
      <c r="G28" s="128" t="s">
        <v>7052</v>
      </c>
      <c r="H28" s="128">
        <v>23.0</v>
      </c>
      <c r="I28" s="128" t="s">
        <v>120</v>
      </c>
    </row>
    <row r="29" ht="37.5" customHeight="1">
      <c r="A29" s="13"/>
      <c r="B29" s="11" t="s">
        <v>7053</v>
      </c>
      <c r="C29" s="14" t="s">
        <v>83</v>
      </c>
      <c r="D29" s="14" t="s">
        <v>911</v>
      </c>
      <c r="E29" s="14">
        <v>2.0</v>
      </c>
      <c r="F29" s="14" t="s">
        <v>7054</v>
      </c>
      <c r="G29" s="128" t="s">
        <v>7055</v>
      </c>
      <c r="H29" s="128">
        <v>24.0</v>
      </c>
      <c r="I29" s="128" t="s">
        <v>120</v>
      </c>
    </row>
    <row r="30" ht="37.5" customHeight="1">
      <c r="A30" s="13"/>
      <c r="B30" s="11" t="s">
        <v>1764</v>
      </c>
      <c r="C30" s="14" t="s">
        <v>73</v>
      </c>
      <c r="D30" s="14" t="s">
        <v>5239</v>
      </c>
      <c r="E30" s="14">
        <v>2.0</v>
      </c>
      <c r="F30" s="14" t="s">
        <v>7056</v>
      </c>
      <c r="G30" s="128" t="s">
        <v>7057</v>
      </c>
      <c r="H30" s="128">
        <v>25.0</v>
      </c>
      <c r="I30" s="128" t="s">
        <v>120</v>
      </c>
    </row>
    <row r="31" ht="37.5" customHeight="1">
      <c r="A31" s="253"/>
      <c r="B31" s="11" t="s">
        <v>7058</v>
      </c>
      <c r="C31" s="14" t="s">
        <v>157</v>
      </c>
      <c r="D31" s="14" t="s">
        <v>5239</v>
      </c>
      <c r="E31" s="14">
        <v>2.0</v>
      </c>
      <c r="F31" s="14" t="s">
        <v>7059</v>
      </c>
      <c r="G31" s="128" t="s">
        <v>7060</v>
      </c>
      <c r="H31" s="128">
        <v>26.0</v>
      </c>
      <c r="I31" s="128" t="s">
        <v>120</v>
      </c>
    </row>
    <row r="32" ht="37.5" customHeight="1">
      <c r="A32" s="13"/>
      <c r="B32" s="11" t="s">
        <v>1778</v>
      </c>
      <c r="C32" s="14" t="s">
        <v>83</v>
      </c>
      <c r="D32" s="14" t="s">
        <v>5239</v>
      </c>
      <c r="E32" s="14">
        <v>2.0</v>
      </c>
      <c r="F32" s="14" t="s">
        <v>7061</v>
      </c>
      <c r="G32" s="128" t="s">
        <v>7062</v>
      </c>
      <c r="H32" s="128">
        <v>27.0</v>
      </c>
      <c r="I32" s="128" t="s">
        <v>120</v>
      </c>
    </row>
    <row r="33" ht="37.5" customHeight="1">
      <c r="A33" s="13"/>
      <c r="B33" s="11" t="s">
        <v>1758</v>
      </c>
      <c r="C33" s="14" t="s">
        <v>83</v>
      </c>
      <c r="D33" s="14" t="s">
        <v>5236</v>
      </c>
      <c r="E33" s="14">
        <v>2.0</v>
      </c>
      <c r="F33" s="14" t="s">
        <v>7063</v>
      </c>
      <c r="G33" s="128" t="s">
        <v>7064</v>
      </c>
      <c r="H33" s="128">
        <v>28.0</v>
      </c>
      <c r="I33" s="128" t="s">
        <v>120</v>
      </c>
    </row>
    <row r="34" ht="37.5" customHeight="1">
      <c r="A34" s="14"/>
      <c r="B34" s="11" t="s">
        <v>847</v>
      </c>
      <c r="C34" s="14" t="s">
        <v>65</v>
      </c>
      <c r="D34" s="14" t="s">
        <v>5239</v>
      </c>
      <c r="E34" s="128">
        <v>2.0</v>
      </c>
      <c r="F34" s="14" t="s">
        <v>7065</v>
      </c>
      <c r="G34" s="128" t="s">
        <v>7066</v>
      </c>
      <c r="H34" s="128">
        <v>29.0</v>
      </c>
      <c r="I34" s="128" t="s">
        <v>120</v>
      </c>
    </row>
    <row r="35" ht="37.5" customHeight="1">
      <c r="A35" s="253"/>
      <c r="B35" s="11" t="s">
        <v>1754</v>
      </c>
      <c r="C35" s="14" t="s">
        <v>157</v>
      </c>
      <c r="D35" s="14" t="s">
        <v>5236</v>
      </c>
      <c r="E35" s="14">
        <v>3.0</v>
      </c>
      <c r="F35" s="14" t="s">
        <v>7067</v>
      </c>
      <c r="G35" s="128" t="s">
        <v>7068</v>
      </c>
      <c r="H35" s="128">
        <v>30.0</v>
      </c>
      <c r="I35" s="128" t="s">
        <v>120</v>
      </c>
    </row>
    <row r="36" ht="37.5" customHeight="1">
      <c r="A36" s="13"/>
      <c r="B36" s="11" t="s">
        <v>1776</v>
      </c>
      <c r="C36" s="14" t="s">
        <v>94</v>
      </c>
      <c r="D36" s="14" t="s">
        <v>5236</v>
      </c>
      <c r="E36" s="14">
        <v>2.0</v>
      </c>
      <c r="F36" s="14" t="s">
        <v>7069</v>
      </c>
      <c r="G36" s="128" t="s">
        <v>7070</v>
      </c>
      <c r="H36" s="128">
        <v>31.0</v>
      </c>
      <c r="I36" s="128" t="s">
        <v>120</v>
      </c>
    </row>
    <row r="37" ht="37.5" customHeight="1">
      <c r="A37" s="13"/>
      <c r="B37" s="11" t="s">
        <v>1777</v>
      </c>
      <c r="C37" s="14" t="s">
        <v>94</v>
      </c>
      <c r="D37" s="14" t="s">
        <v>911</v>
      </c>
      <c r="E37" s="14">
        <v>2.0</v>
      </c>
      <c r="F37" s="14" t="s">
        <v>7071</v>
      </c>
      <c r="G37" s="128" t="s">
        <v>7072</v>
      </c>
      <c r="H37" s="128">
        <v>32.0</v>
      </c>
      <c r="I37" s="128" t="s">
        <v>120</v>
      </c>
    </row>
    <row r="38" ht="37.5" customHeight="1">
      <c r="A38" s="13"/>
      <c r="B38" s="11" t="s">
        <v>1756</v>
      </c>
      <c r="C38" s="14" t="s">
        <v>83</v>
      </c>
      <c r="D38" s="14" t="s">
        <v>911</v>
      </c>
      <c r="E38" s="14">
        <v>2.0</v>
      </c>
      <c r="F38" s="14" t="s">
        <v>7073</v>
      </c>
      <c r="G38" s="128" t="s">
        <v>7074</v>
      </c>
      <c r="H38" s="128">
        <v>33.0</v>
      </c>
      <c r="I38" s="128" t="s">
        <v>136</v>
      </c>
    </row>
    <row r="39" ht="37.5" customHeight="1">
      <c r="A39" s="253"/>
      <c r="B39" s="11" t="s">
        <v>7075</v>
      </c>
      <c r="C39" s="14" t="s">
        <v>157</v>
      </c>
      <c r="D39" s="14" t="s">
        <v>5236</v>
      </c>
      <c r="E39" s="14">
        <v>2.0</v>
      </c>
      <c r="F39" s="14" t="s">
        <v>7076</v>
      </c>
      <c r="G39" s="128" t="s">
        <v>7077</v>
      </c>
      <c r="H39" s="128">
        <v>34.0</v>
      </c>
      <c r="I39" s="128" t="s">
        <v>136</v>
      </c>
    </row>
    <row r="40" ht="37.5" customHeight="1">
      <c r="A40" s="13"/>
      <c r="B40" s="11" t="s">
        <v>1749</v>
      </c>
      <c r="C40" s="14" t="s">
        <v>65</v>
      </c>
      <c r="D40" s="14" t="s">
        <v>5239</v>
      </c>
      <c r="E40" s="14">
        <v>2.0</v>
      </c>
      <c r="F40" s="14" t="s">
        <v>7078</v>
      </c>
      <c r="G40" s="128" t="s">
        <v>7079</v>
      </c>
      <c r="H40" s="128">
        <v>35.0</v>
      </c>
      <c r="I40" s="128" t="s">
        <v>136</v>
      </c>
    </row>
    <row r="41" ht="37.5" customHeight="1">
      <c r="A41" s="13"/>
      <c r="B41" s="11" t="s">
        <v>1097</v>
      </c>
      <c r="C41" s="14" t="s">
        <v>94</v>
      </c>
      <c r="D41" s="14" t="s">
        <v>5236</v>
      </c>
      <c r="E41" s="14">
        <v>2.0</v>
      </c>
      <c r="F41" s="14" t="s">
        <v>7080</v>
      </c>
      <c r="G41" s="128" t="s">
        <v>7081</v>
      </c>
      <c r="H41" s="128">
        <v>36.0</v>
      </c>
      <c r="I41" s="128" t="s">
        <v>136</v>
      </c>
    </row>
    <row r="42" ht="37.5" customHeight="1">
      <c r="A42" s="13"/>
      <c r="B42" s="11" t="s">
        <v>7082</v>
      </c>
      <c r="C42" s="14" t="s">
        <v>73</v>
      </c>
      <c r="D42" s="14" t="s">
        <v>911</v>
      </c>
      <c r="E42" s="14">
        <v>2.0</v>
      </c>
      <c r="F42" s="14" t="s">
        <v>7083</v>
      </c>
      <c r="G42" s="128" t="s">
        <v>7084</v>
      </c>
      <c r="H42" s="128">
        <v>37.0</v>
      </c>
      <c r="I42" s="128" t="s">
        <v>136</v>
      </c>
    </row>
    <row r="43" ht="37.5" customHeight="1">
      <c r="A43" s="13"/>
      <c r="B43" s="11" t="s">
        <v>916</v>
      </c>
      <c r="C43" s="14" t="s">
        <v>65</v>
      </c>
      <c r="D43" s="14" t="s">
        <v>5239</v>
      </c>
      <c r="E43" s="14">
        <v>2.0</v>
      </c>
      <c r="F43" s="14" t="s">
        <v>7085</v>
      </c>
      <c r="G43" s="128" t="s">
        <v>7086</v>
      </c>
      <c r="H43" s="128">
        <v>38.0</v>
      </c>
      <c r="I43" s="128" t="s">
        <v>136</v>
      </c>
    </row>
    <row r="44" ht="37.5" customHeight="1">
      <c r="A44" s="13"/>
      <c r="B44" s="11" t="s">
        <v>7087</v>
      </c>
      <c r="C44" s="14" t="s">
        <v>83</v>
      </c>
      <c r="D44" s="14" t="s">
        <v>911</v>
      </c>
      <c r="E44" s="14">
        <v>2.0</v>
      </c>
      <c r="F44" s="14" t="s">
        <v>7088</v>
      </c>
      <c r="G44" s="128" t="s">
        <v>7089</v>
      </c>
      <c r="H44" s="128">
        <v>39.0</v>
      </c>
      <c r="I44" s="128" t="s">
        <v>136</v>
      </c>
    </row>
    <row r="45" ht="37.5" customHeight="1">
      <c r="A45" s="253"/>
      <c r="B45" s="11" t="s">
        <v>1761</v>
      </c>
      <c r="C45" s="14" t="s">
        <v>157</v>
      </c>
      <c r="D45" s="14" t="s">
        <v>911</v>
      </c>
      <c r="E45" s="14">
        <v>3.0</v>
      </c>
      <c r="F45" s="14" t="s">
        <v>7090</v>
      </c>
      <c r="G45" s="128" t="s">
        <v>7091</v>
      </c>
      <c r="H45" s="128">
        <v>40.0</v>
      </c>
      <c r="I45" s="128" t="s">
        <v>136</v>
      </c>
    </row>
    <row r="46" ht="37.5" customHeight="1">
      <c r="A46" s="253"/>
      <c r="B46" s="11" t="s">
        <v>1765</v>
      </c>
      <c r="C46" s="14" t="s">
        <v>157</v>
      </c>
      <c r="D46" s="14" t="s">
        <v>5236</v>
      </c>
      <c r="E46" s="14">
        <v>2.0</v>
      </c>
      <c r="F46" s="14" t="s">
        <v>7092</v>
      </c>
      <c r="G46" s="128" t="s">
        <v>7093</v>
      </c>
      <c r="H46" s="128">
        <v>41.0</v>
      </c>
      <c r="I46" s="128" t="s">
        <v>136</v>
      </c>
    </row>
    <row r="47" ht="37.5" customHeight="1">
      <c r="A47" s="13"/>
      <c r="B47" s="11" t="s">
        <v>1751</v>
      </c>
      <c r="C47" s="14" t="s">
        <v>94</v>
      </c>
      <c r="D47" s="14" t="s">
        <v>5239</v>
      </c>
      <c r="E47" s="14">
        <v>2.0</v>
      </c>
      <c r="F47" s="14" t="s">
        <v>7094</v>
      </c>
      <c r="G47" s="128" t="s">
        <v>7095</v>
      </c>
      <c r="H47" s="128">
        <v>42.0</v>
      </c>
      <c r="I47" s="128" t="s">
        <v>136</v>
      </c>
    </row>
    <row r="48" ht="37.5" customHeight="1">
      <c r="A48" s="13"/>
      <c r="B48" s="11" t="s">
        <v>7096</v>
      </c>
      <c r="C48" s="14" t="s">
        <v>94</v>
      </c>
      <c r="D48" s="14" t="s">
        <v>911</v>
      </c>
      <c r="E48" s="14">
        <v>2.0</v>
      </c>
      <c r="F48" s="14" t="s">
        <v>7097</v>
      </c>
      <c r="G48" s="128" t="s">
        <v>7098</v>
      </c>
      <c r="H48" s="128">
        <v>43.0</v>
      </c>
      <c r="I48" s="128" t="s">
        <v>136</v>
      </c>
    </row>
    <row r="49" ht="37.5" customHeight="1">
      <c r="A49" s="13"/>
      <c r="B49" s="11" t="s">
        <v>1752</v>
      </c>
      <c r="C49" s="14" t="s">
        <v>94</v>
      </c>
      <c r="D49" s="14" t="s">
        <v>5239</v>
      </c>
      <c r="E49" s="14">
        <v>2.0</v>
      </c>
      <c r="F49" s="14" t="s">
        <v>7099</v>
      </c>
      <c r="G49" s="128" t="s">
        <v>7100</v>
      </c>
      <c r="H49" s="128">
        <v>44.0</v>
      </c>
      <c r="I49" s="128" t="s">
        <v>136</v>
      </c>
    </row>
    <row r="50" ht="37.5" customHeight="1">
      <c r="A50" s="13"/>
      <c r="B50" s="11" t="s">
        <v>1763</v>
      </c>
      <c r="C50" s="14" t="s">
        <v>73</v>
      </c>
      <c r="D50" s="14" t="s">
        <v>5239</v>
      </c>
      <c r="E50" s="14">
        <v>2.0</v>
      </c>
      <c r="F50" s="14" t="s">
        <v>7101</v>
      </c>
      <c r="G50" s="128" t="s">
        <v>7102</v>
      </c>
      <c r="H50" s="128">
        <v>45.0</v>
      </c>
      <c r="I50" s="128" t="s">
        <v>136</v>
      </c>
    </row>
    <row r="51" ht="37.5" customHeight="1">
      <c r="A51" s="13"/>
      <c r="B51" s="11" t="s">
        <v>1769</v>
      </c>
      <c r="C51" s="14" t="s">
        <v>94</v>
      </c>
      <c r="D51" s="14" t="s">
        <v>5236</v>
      </c>
      <c r="E51" s="14">
        <v>2.0</v>
      </c>
      <c r="F51" s="14" t="s">
        <v>7103</v>
      </c>
      <c r="G51" s="128" t="s">
        <v>7104</v>
      </c>
      <c r="H51" s="128">
        <v>46.0</v>
      </c>
      <c r="I51" s="128" t="s">
        <v>136</v>
      </c>
    </row>
    <row r="52" ht="37.5" customHeight="1">
      <c r="A52" s="253"/>
      <c r="B52" s="11" t="s">
        <v>1771</v>
      </c>
      <c r="C52" s="14" t="s">
        <v>157</v>
      </c>
      <c r="D52" s="14" t="s">
        <v>911</v>
      </c>
      <c r="E52" s="14">
        <v>2.0</v>
      </c>
      <c r="F52" s="14" t="s">
        <v>7105</v>
      </c>
      <c r="G52" s="128" t="s">
        <v>7106</v>
      </c>
      <c r="H52" s="128">
        <v>47.0</v>
      </c>
      <c r="I52" s="128" t="s">
        <v>136</v>
      </c>
    </row>
    <row r="53" ht="37.5" customHeight="1">
      <c r="A53" s="253"/>
      <c r="B53" s="11" t="s">
        <v>7107</v>
      </c>
      <c r="C53" s="14" t="s">
        <v>157</v>
      </c>
      <c r="D53" s="14" t="s">
        <v>911</v>
      </c>
      <c r="E53" s="14">
        <v>2.0</v>
      </c>
      <c r="F53" s="14" t="s">
        <v>7108</v>
      </c>
      <c r="G53" s="128" t="s">
        <v>7109</v>
      </c>
      <c r="H53" s="128">
        <v>48.0</v>
      </c>
      <c r="I53" s="128" t="s">
        <v>136</v>
      </c>
    </row>
    <row r="54" ht="37.5" customHeight="1">
      <c r="A54" s="14"/>
      <c r="B54" s="11" t="s">
        <v>844</v>
      </c>
      <c r="C54" s="14" t="s">
        <v>94</v>
      </c>
      <c r="D54" s="14" t="s">
        <v>911</v>
      </c>
      <c r="E54" s="128">
        <v>3.0</v>
      </c>
      <c r="F54" s="14" t="s">
        <v>7110</v>
      </c>
      <c r="G54" s="128" t="s">
        <v>7111</v>
      </c>
      <c r="H54" s="128">
        <v>49.0</v>
      </c>
      <c r="I54" s="128" t="s">
        <v>136</v>
      </c>
    </row>
    <row r="55" ht="37.5" customHeight="1">
      <c r="A55" s="13"/>
      <c r="B55" s="11" t="s">
        <v>1759</v>
      </c>
      <c r="C55" s="14" t="s">
        <v>65</v>
      </c>
      <c r="D55" s="14" t="s">
        <v>911</v>
      </c>
      <c r="E55" s="14">
        <v>2.0</v>
      </c>
      <c r="F55" s="14" t="s">
        <v>7112</v>
      </c>
      <c r="G55" s="128" t="s">
        <v>7113</v>
      </c>
      <c r="H55" s="128">
        <v>50.0</v>
      </c>
      <c r="I55" s="128" t="s">
        <v>136</v>
      </c>
    </row>
    <row r="56" ht="37.5" customHeight="1">
      <c r="A56" s="13"/>
      <c r="B56" s="11" t="s">
        <v>7114</v>
      </c>
      <c r="C56" s="14" t="s">
        <v>73</v>
      </c>
      <c r="D56" s="14" t="s">
        <v>5239</v>
      </c>
      <c r="E56" s="14">
        <v>2.0</v>
      </c>
      <c r="F56" s="14" t="s">
        <v>7115</v>
      </c>
      <c r="G56" s="128" t="s">
        <v>7116</v>
      </c>
      <c r="H56" s="128">
        <v>51.0</v>
      </c>
      <c r="I56" s="128" t="s">
        <v>136</v>
      </c>
    </row>
    <row r="57" ht="37.5" customHeight="1">
      <c r="A57" s="253"/>
      <c r="B57" s="11" t="s">
        <v>1760</v>
      </c>
      <c r="C57" s="14" t="s">
        <v>157</v>
      </c>
      <c r="D57" s="14" t="s">
        <v>5239</v>
      </c>
      <c r="E57" s="14">
        <v>2.0</v>
      </c>
      <c r="F57" s="14" t="s">
        <v>7117</v>
      </c>
      <c r="G57" s="128" t="s">
        <v>7118</v>
      </c>
      <c r="H57" s="128">
        <v>52.0</v>
      </c>
      <c r="I57" s="128" t="s">
        <v>136</v>
      </c>
    </row>
    <row r="58" ht="37.5" customHeight="1">
      <c r="A58" s="13"/>
      <c r="B58" s="11" t="s">
        <v>1755</v>
      </c>
      <c r="C58" s="14" t="s">
        <v>83</v>
      </c>
      <c r="D58" s="14" t="s">
        <v>5236</v>
      </c>
      <c r="E58" s="14">
        <v>2.0</v>
      </c>
      <c r="F58" s="14" t="s">
        <v>7119</v>
      </c>
      <c r="G58" s="128" t="s">
        <v>7120</v>
      </c>
      <c r="H58" s="128">
        <v>53.0</v>
      </c>
      <c r="I58" s="128" t="s">
        <v>167</v>
      </c>
    </row>
    <row r="59" ht="37.5" customHeight="1">
      <c r="A59" s="13"/>
      <c r="B59" s="11" t="s">
        <v>7121</v>
      </c>
      <c r="C59" s="14" t="s">
        <v>65</v>
      </c>
      <c r="D59" s="14" t="s">
        <v>5236</v>
      </c>
      <c r="E59" s="14">
        <v>2.0</v>
      </c>
      <c r="F59" s="14" t="s">
        <v>7122</v>
      </c>
      <c r="G59" s="128" t="s">
        <v>7123</v>
      </c>
      <c r="H59" s="128">
        <v>54.0</v>
      </c>
      <c r="I59" s="128" t="s">
        <v>167</v>
      </c>
    </row>
    <row r="60" ht="37.5" customHeight="1">
      <c r="A60" s="13"/>
      <c r="B60" s="11" t="s">
        <v>1773</v>
      </c>
      <c r="C60" s="14" t="s">
        <v>83</v>
      </c>
      <c r="D60" s="14" t="s">
        <v>5239</v>
      </c>
      <c r="E60" s="14">
        <v>2.0</v>
      </c>
      <c r="F60" s="14" t="s">
        <v>7124</v>
      </c>
      <c r="G60" s="128" t="s">
        <v>7125</v>
      </c>
      <c r="H60" s="128">
        <v>55.0</v>
      </c>
      <c r="I60" s="128" t="s">
        <v>167</v>
      </c>
    </row>
    <row r="61" ht="37.5" customHeight="1">
      <c r="A61" s="253"/>
      <c r="B61" s="11" t="s">
        <v>7126</v>
      </c>
      <c r="C61" s="14" t="s">
        <v>157</v>
      </c>
      <c r="D61" s="14" t="s">
        <v>5239</v>
      </c>
      <c r="E61" s="14">
        <v>2.0</v>
      </c>
      <c r="F61" s="14" t="s">
        <v>7127</v>
      </c>
      <c r="G61" s="128" t="s">
        <v>7128</v>
      </c>
      <c r="H61" s="128">
        <v>56.0</v>
      </c>
      <c r="I61" s="128" t="s">
        <v>167</v>
      </c>
    </row>
    <row r="62" ht="37.5" customHeight="1">
      <c r="A62" s="253"/>
      <c r="B62" s="11" t="s">
        <v>7129</v>
      </c>
      <c r="C62" s="14" t="s">
        <v>157</v>
      </c>
      <c r="D62" s="14" t="s">
        <v>5236</v>
      </c>
      <c r="E62" s="128">
        <v>3.0</v>
      </c>
      <c r="F62" s="14" t="s">
        <v>7130</v>
      </c>
      <c r="G62" s="128" t="s">
        <v>7131</v>
      </c>
      <c r="H62" s="128">
        <v>57.0</v>
      </c>
      <c r="I62" s="128" t="s">
        <v>167</v>
      </c>
    </row>
  </sheetData>
  <autoFilter ref="$A$2:$I$62">
    <sortState ref="A2:I62">
      <sortCondition ref="H2:H62"/>
      <sortCondition ref="C2:C62"/>
      <sortCondition ref="D2:D62"/>
      <sortCondition ref="B2:B62"/>
      <sortCondition ref="I2:I62"/>
    </sortState>
  </autoFilter>
  <mergeCells count="2">
    <mergeCell ref="A1:F1"/>
    <mergeCell ref="G1:I1"/>
  </mergeCells>
  <conditionalFormatting sqref="H3:I62">
    <cfRule type="cellIs" dxfId="3" priority="1" operator="equal">
      <formula>"F"</formula>
    </cfRule>
  </conditionalFormatting>
  <conditionalFormatting sqref="H3:I62">
    <cfRule type="cellIs" dxfId="4" priority="2" operator="equal">
      <formula>"E"</formula>
    </cfRule>
  </conditionalFormatting>
  <conditionalFormatting sqref="H3:I62">
    <cfRule type="cellIs" dxfId="5" priority="3" operator="equal">
      <formula>"S"</formula>
    </cfRule>
  </conditionalFormatting>
  <conditionalFormatting sqref="H3:I62">
    <cfRule type="cellIs" dxfId="6" priority="4" operator="equal">
      <formula>"B"</formula>
    </cfRule>
  </conditionalFormatting>
  <conditionalFormatting sqref="H3:I62">
    <cfRule type="cellIs" dxfId="7" priority="5" operator="equal">
      <formula>"D"</formula>
    </cfRule>
  </conditionalFormatting>
  <conditionalFormatting sqref="H3:I62">
    <cfRule type="cellIs" dxfId="8" priority="6" operator="equal">
      <formula>"C"</formula>
    </cfRule>
  </conditionalFormatting>
  <conditionalFormatting sqref="H3:I62">
    <cfRule type="cellIs" dxfId="9" priority="7" operator="equal">
      <formula>"A"</formula>
    </cfRule>
  </conditionalFormatting>
  <conditionalFormatting sqref="G3:I62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3:C62">
    <cfRule type="cellIs" dxfId="17" priority="9" operator="equal">
      <formula>"Strand"</formula>
    </cfRule>
  </conditionalFormatting>
  <conditionalFormatting sqref="C3:C62">
    <cfRule type="cellIs" dxfId="29" priority="10" operator="equal">
      <formula>"Stasis"</formula>
    </cfRule>
  </conditionalFormatting>
  <conditionalFormatting sqref="C3:C62">
    <cfRule type="cellIs" dxfId="20" priority="11" operator="equal">
      <formula>"Arc"</formula>
    </cfRule>
  </conditionalFormatting>
  <conditionalFormatting sqref="C3:C62">
    <cfRule type="cellIs" dxfId="13" priority="12" operator="equal">
      <formula>"Solar"</formula>
    </cfRule>
  </conditionalFormatting>
  <conditionalFormatting sqref="C3:C62">
    <cfRule type="cellIs" dxfId="18" priority="13" operator="equal">
      <formula>"Void"</formula>
    </cfRule>
  </conditionalFormatting>
  <conditionalFormatting sqref="C3:C62">
    <cfRule type="cellIs" dxfId="30" priority="14" operator="equal">
      <formula>"Prismatic"</formula>
    </cfRule>
  </conditionalFormatting>
  <conditionalFormatting sqref="D3:D62">
    <cfRule type="cellIs" dxfId="6" priority="15" operator="equal">
      <formula>"W"</formula>
    </cfRule>
  </conditionalFormatting>
  <conditionalFormatting sqref="D3:D62">
    <cfRule type="cellIs" dxfId="31" priority="16" operator="equal">
      <formula>"H"</formula>
    </cfRule>
  </conditionalFormatting>
  <conditionalFormatting sqref="D3:D62">
    <cfRule type="cellIs" dxfId="7" priority="17" operator="equal">
      <formula>"T"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8.13"/>
    <col customWidth="1" min="3" max="3" width="4.63"/>
    <col customWidth="1" min="4" max="4" width="43.0"/>
    <col customWidth="1" min="5" max="5" width="4.38"/>
    <col customWidth="1" min="6" max="6" width="43.0"/>
    <col customWidth="1" min="7" max="7" width="4.38"/>
    <col customWidth="1" min="8" max="8" width="43.0"/>
    <col customWidth="1" min="9" max="9" width="4.38"/>
    <col customWidth="1" min="10" max="10" width="25.13"/>
    <col customWidth="1" min="11" max="11" width="4.38"/>
    <col customWidth="1" min="12" max="13" width="7.25"/>
  </cols>
  <sheetData>
    <row r="1">
      <c r="A1" s="254" t="s">
        <v>2208</v>
      </c>
      <c r="B1" s="255" t="s">
        <v>6818</v>
      </c>
      <c r="C1" s="256" t="s">
        <v>1783</v>
      </c>
      <c r="D1" s="254" t="s">
        <v>402</v>
      </c>
      <c r="E1" s="257"/>
      <c r="F1" s="256" t="s">
        <v>7132</v>
      </c>
      <c r="G1" s="257"/>
      <c r="H1" s="254" t="s">
        <v>60</v>
      </c>
      <c r="I1" s="257"/>
      <c r="J1" s="254" t="s">
        <v>7133</v>
      </c>
      <c r="K1" s="258"/>
      <c r="L1" s="254" t="s">
        <v>7</v>
      </c>
      <c r="M1" s="256" t="s">
        <v>63</v>
      </c>
    </row>
    <row r="2" ht="64.5" customHeight="1">
      <c r="A2" s="257"/>
      <c r="B2" s="258"/>
      <c r="C2" s="259">
        <v>1.0</v>
      </c>
      <c r="D2" s="260" t="s">
        <v>7134</v>
      </c>
      <c r="E2" s="261">
        <v>9.0</v>
      </c>
      <c r="F2" s="260" t="s">
        <v>7135</v>
      </c>
      <c r="G2" s="261">
        <v>10.0</v>
      </c>
      <c r="H2" s="260" t="s">
        <v>7136</v>
      </c>
      <c r="I2" s="261">
        <v>8.0</v>
      </c>
      <c r="J2" s="260" t="s">
        <v>7137</v>
      </c>
      <c r="K2" s="262">
        <v>3.0</v>
      </c>
      <c r="L2" s="263">
        <f t="shared" ref="L2:L19" si="1">SUM(E2,G2,I2,K2)</f>
        <v>30</v>
      </c>
      <c r="M2" s="14" t="s">
        <v>71</v>
      </c>
    </row>
    <row r="3" ht="64.5" customHeight="1">
      <c r="A3" s="257"/>
      <c r="B3" s="258"/>
      <c r="C3" s="259">
        <v>17.0</v>
      </c>
      <c r="D3" s="260" t="s">
        <v>7138</v>
      </c>
      <c r="E3" s="261">
        <v>10.0</v>
      </c>
      <c r="F3" s="260" t="s">
        <v>7139</v>
      </c>
      <c r="G3" s="261">
        <v>9.0</v>
      </c>
      <c r="H3" s="260" t="s">
        <v>7140</v>
      </c>
      <c r="I3" s="261">
        <v>10.0</v>
      </c>
      <c r="J3" s="260" t="s">
        <v>7141</v>
      </c>
      <c r="K3" s="262">
        <v>1.0</v>
      </c>
      <c r="L3" s="263">
        <f t="shared" si="1"/>
        <v>30</v>
      </c>
      <c r="M3" s="14" t="s">
        <v>71</v>
      </c>
    </row>
    <row r="4" ht="64.5" customHeight="1">
      <c r="A4" s="257"/>
      <c r="B4" s="258"/>
      <c r="C4" s="259">
        <v>16.0</v>
      </c>
      <c r="D4" s="260" t="s">
        <v>7142</v>
      </c>
      <c r="E4" s="261">
        <v>6.0</v>
      </c>
      <c r="F4" s="260" t="s">
        <v>7143</v>
      </c>
      <c r="G4" s="261">
        <v>8.0</v>
      </c>
      <c r="H4" s="260" t="s">
        <v>7144</v>
      </c>
      <c r="I4" s="261">
        <v>10.0</v>
      </c>
      <c r="J4" s="260" t="s">
        <v>7145</v>
      </c>
      <c r="K4" s="262">
        <v>1.0</v>
      </c>
      <c r="L4" s="263">
        <f t="shared" si="1"/>
        <v>25</v>
      </c>
      <c r="M4" s="14" t="s">
        <v>92</v>
      </c>
    </row>
    <row r="5" ht="64.5" customHeight="1">
      <c r="A5" s="257"/>
      <c r="B5" s="258"/>
      <c r="C5" s="259">
        <v>18.0</v>
      </c>
      <c r="D5" s="260" t="s">
        <v>7146</v>
      </c>
      <c r="E5" s="261">
        <v>9.0</v>
      </c>
      <c r="F5" s="260" t="s">
        <v>7147</v>
      </c>
      <c r="G5" s="261">
        <v>5.0</v>
      </c>
      <c r="H5" s="260" t="s">
        <v>7148</v>
      </c>
      <c r="I5" s="261">
        <v>8.0</v>
      </c>
      <c r="J5" s="260" t="s">
        <v>75</v>
      </c>
      <c r="K5" s="262">
        <v>0.0</v>
      </c>
      <c r="L5" s="263">
        <f t="shared" si="1"/>
        <v>22</v>
      </c>
      <c r="M5" s="14" t="s">
        <v>92</v>
      </c>
    </row>
    <row r="6" ht="64.5" customHeight="1">
      <c r="A6" s="257"/>
      <c r="B6" s="258"/>
      <c r="C6" s="259">
        <v>15.0</v>
      </c>
      <c r="D6" s="260" t="s">
        <v>7149</v>
      </c>
      <c r="E6" s="261">
        <v>7.0</v>
      </c>
      <c r="F6" s="260" t="s">
        <v>7150</v>
      </c>
      <c r="G6" s="261">
        <v>5.0</v>
      </c>
      <c r="H6" s="260" t="s">
        <v>7151</v>
      </c>
      <c r="I6" s="261">
        <v>6.0</v>
      </c>
      <c r="J6" s="260" t="s">
        <v>2241</v>
      </c>
      <c r="K6" s="262">
        <v>1.0</v>
      </c>
      <c r="L6" s="263">
        <f t="shared" si="1"/>
        <v>19</v>
      </c>
      <c r="M6" s="14" t="s">
        <v>92</v>
      </c>
    </row>
    <row r="7" ht="64.5" customHeight="1">
      <c r="A7" s="257"/>
      <c r="B7" s="258"/>
      <c r="C7" s="259">
        <v>8.0</v>
      </c>
      <c r="D7" s="260" t="s">
        <v>7152</v>
      </c>
      <c r="E7" s="261">
        <v>6.0</v>
      </c>
      <c r="F7" s="260" t="s">
        <v>7153</v>
      </c>
      <c r="G7" s="261">
        <v>8.0</v>
      </c>
      <c r="H7" s="260" t="s">
        <v>7154</v>
      </c>
      <c r="I7" s="261">
        <v>4.0</v>
      </c>
      <c r="J7" s="260" t="s">
        <v>75</v>
      </c>
      <c r="K7" s="262">
        <v>0.0</v>
      </c>
      <c r="L7" s="263">
        <f t="shared" si="1"/>
        <v>18</v>
      </c>
      <c r="M7" s="14" t="s">
        <v>120</v>
      </c>
    </row>
    <row r="8" ht="64.5" customHeight="1">
      <c r="A8" s="257"/>
      <c r="B8" s="258"/>
      <c r="C8" s="259">
        <v>7.0</v>
      </c>
      <c r="D8" s="260" t="s">
        <v>7155</v>
      </c>
      <c r="E8" s="261">
        <v>5.0</v>
      </c>
      <c r="F8" s="260" t="s">
        <v>7156</v>
      </c>
      <c r="G8" s="261">
        <v>6.0</v>
      </c>
      <c r="H8" s="260" t="s">
        <v>7157</v>
      </c>
      <c r="I8" s="261">
        <v>4.0</v>
      </c>
      <c r="J8" s="260" t="s">
        <v>7145</v>
      </c>
      <c r="K8" s="262">
        <v>1.0</v>
      </c>
      <c r="L8" s="263">
        <f t="shared" si="1"/>
        <v>16</v>
      </c>
      <c r="M8" s="14" t="s">
        <v>120</v>
      </c>
    </row>
    <row r="9" ht="64.5" customHeight="1">
      <c r="A9" s="257"/>
      <c r="B9" s="258"/>
      <c r="C9" s="259">
        <v>11.0</v>
      </c>
      <c r="D9" s="260" t="s">
        <v>7158</v>
      </c>
      <c r="E9" s="261">
        <v>3.0</v>
      </c>
      <c r="F9" s="260" t="s">
        <v>7159</v>
      </c>
      <c r="G9" s="261">
        <v>4.0</v>
      </c>
      <c r="H9" s="260" t="s">
        <v>7160</v>
      </c>
      <c r="I9" s="261">
        <v>7.0</v>
      </c>
      <c r="J9" s="260" t="s">
        <v>7161</v>
      </c>
      <c r="K9" s="262">
        <v>2.0</v>
      </c>
      <c r="L9" s="263">
        <f t="shared" si="1"/>
        <v>16</v>
      </c>
      <c r="M9" s="14" t="s">
        <v>120</v>
      </c>
    </row>
    <row r="10" ht="64.5" customHeight="1">
      <c r="A10" s="257"/>
      <c r="B10" s="258"/>
      <c r="C10" s="259">
        <v>3.0</v>
      </c>
      <c r="D10" s="260" t="s">
        <v>7162</v>
      </c>
      <c r="E10" s="261">
        <v>5.0</v>
      </c>
      <c r="F10" s="260" t="s">
        <v>7163</v>
      </c>
      <c r="G10" s="261">
        <v>6.0</v>
      </c>
      <c r="H10" s="260" t="s">
        <v>7164</v>
      </c>
      <c r="I10" s="261">
        <v>4.0</v>
      </c>
      <c r="J10" s="260" t="s">
        <v>75</v>
      </c>
      <c r="K10" s="262">
        <v>0.0</v>
      </c>
      <c r="L10" s="263">
        <f t="shared" si="1"/>
        <v>15</v>
      </c>
      <c r="M10" s="14" t="s">
        <v>120</v>
      </c>
    </row>
    <row r="11" ht="64.5" customHeight="1">
      <c r="A11" s="257"/>
      <c r="B11" s="258"/>
      <c r="C11" s="259">
        <v>5.0</v>
      </c>
      <c r="D11" s="260" t="s">
        <v>7165</v>
      </c>
      <c r="E11" s="261">
        <v>4.0</v>
      </c>
      <c r="F11" s="260" t="s">
        <v>7166</v>
      </c>
      <c r="G11" s="261">
        <v>4.0</v>
      </c>
      <c r="H11" s="260" t="s">
        <v>7167</v>
      </c>
      <c r="I11" s="261">
        <v>3.0</v>
      </c>
      <c r="J11" s="260" t="s">
        <v>7168</v>
      </c>
      <c r="K11" s="262">
        <v>1.0</v>
      </c>
      <c r="L11" s="263">
        <f t="shared" si="1"/>
        <v>12</v>
      </c>
      <c r="M11" s="14" t="s">
        <v>136</v>
      </c>
    </row>
    <row r="12" ht="64.5" customHeight="1">
      <c r="A12" s="257"/>
      <c r="B12" s="258"/>
      <c r="C12" s="259">
        <v>9.0</v>
      </c>
      <c r="D12" s="260" t="s">
        <v>7169</v>
      </c>
      <c r="E12" s="261">
        <v>4.0</v>
      </c>
      <c r="F12" s="260" t="s">
        <v>7170</v>
      </c>
      <c r="G12" s="261">
        <v>5.0</v>
      </c>
      <c r="H12" s="260" t="s">
        <v>7171</v>
      </c>
      <c r="I12" s="261">
        <v>3.0</v>
      </c>
      <c r="J12" s="260" t="s">
        <v>75</v>
      </c>
      <c r="K12" s="262">
        <v>0.0</v>
      </c>
      <c r="L12" s="263">
        <f t="shared" si="1"/>
        <v>12</v>
      </c>
      <c r="M12" s="14" t="s">
        <v>136</v>
      </c>
    </row>
    <row r="13" ht="64.5" customHeight="1">
      <c r="A13" s="257"/>
      <c r="B13" s="258"/>
      <c r="C13" s="259">
        <v>2.0</v>
      </c>
      <c r="D13" s="260" t="s">
        <v>7172</v>
      </c>
      <c r="E13" s="261">
        <v>2.0</v>
      </c>
      <c r="F13" s="260" t="s">
        <v>7173</v>
      </c>
      <c r="G13" s="261">
        <v>3.0</v>
      </c>
      <c r="H13" s="260" t="s">
        <v>7174</v>
      </c>
      <c r="I13" s="261">
        <v>6.0</v>
      </c>
      <c r="J13" s="260" t="s">
        <v>75</v>
      </c>
      <c r="K13" s="262">
        <v>0.0</v>
      </c>
      <c r="L13" s="263">
        <f t="shared" si="1"/>
        <v>11</v>
      </c>
      <c r="M13" s="14" t="s">
        <v>136</v>
      </c>
    </row>
    <row r="14" ht="64.5" customHeight="1">
      <c r="A14" s="257"/>
      <c r="B14" s="258"/>
      <c r="C14" s="259">
        <v>13.0</v>
      </c>
      <c r="D14" s="260" t="s">
        <v>7175</v>
      </c>
      <c r="E14" s="261">
        <v>1.0</v>
      </c>
      <c r="F14" s="260" t="s">
        <v>7176</v>
      </c>
      <c r="G14" s="261">
        <v>2.0</v>
      </c>
      <c r="H14" s="260" t="s">
        <v>7177</v>
      </c>
      <c r="I14" s="261">
        <v>7.0</v>
      </c>
      <c r="J14" s="260" t="s">
        <v>7178</v>
      </c>
      <c r="K14" s="262">
        <v>1.0</v>
      </c>
      <c r="L14" s="263">
        <f t="shared" si="1"/>
        <v>11</v>
      </c>
      <c r="M14" s="14" t="s">
        <v>136</v>
      </c>
    </row>
    <row r="15" ht="64.5" customHeight="1">
      <c r="A15" s="257"/>
      <c r="B15" s="258"/>
      <c r="C15" s="259">
        <v>14.0</v>
      </c>
      <c r="D15" s="260" t="s">
        <v>7179</v>
      </c>
      <c r="E15" s="261">
        <v>3.0</v>
      </c>
      <c r="F15" s="260" t="s">
        <v>7180</v>
      </c>
      <c r="G15" s="261">
        <v>5.0</v>
      </c>
      <c r="H15" s="260" t="s">
        <v>7181</v>
      </c>
      <c r="I15" s="261">
        <v>1.0</v>
      </c>
      <c r="J15" s="260" t="s">
        <v>2241</v>
      </c>
      <c r="K15" s="262">
        <v>1.0</v>
      </c>
      <c r="L15" s="263">
        <f t="shared" si="1"/>
        <v>10</v>
      </c>
      <c r="M15" s="14" t="s">
        <v>136</v>
      </c>
    </row>
    <row r="16" ht="64.5" customHeight="1">
      <c r="A16" s="257"/>
      <c r="B16" s="258"/>
      <c r="C16" s="259">
        <v>4.0</v>
      </c>
      <c r="D16" s="260" t="s">
        <v>7182</v>
      </c>
      <c r="E16" s="261">
        <v>3.0</v>
      </c>
      <c r="F16" s="260" t="s">
        <v>7183</v>
      </c>
      <c r="G16" s="261">
        <v>3.0</v>
      </c>
      <c r="H16" s="260" t="s">
        <v>7184</v>
      </c>
      <c r="I16" s="261">
        <v>2.0</v>
      </c>
      <c r="J16" s="260" t="s">
        <v>75</v>
      </c>
      <c r="K16" s="262">
        <v>0.0</v>
      </c>
      <c r="L16" s="263">
        <f t="shared" si="1"/>
        <v>8</v>
      </c>
      <c r="M16" s="14" t="s">
        <v>167</v>
      </c>
    </row>
    <row r="17" ht="64.5" customHeight="1">
      <c r="A17" s="257"/>
      <c r="B17" s="258"/>
      <c r="C17" s="259">
        <v>10.0</v>
      </c>
      <c r="D17" s="260" t="s">
        <v>7185</v>
      </c>
      <c r="E17" s="261">
        <v>3.0</v>
      </c>
      <c r="F17" s="260" t="s">
        <v>7186</v>
      </c>
      <c r="G17" s="261">
        <v>3.0</v>
      </c>
      <c r="H17" s="260" t="s">
        <v>7187</v>
      </c>
      <c r="I17" s="261">
        <v>0.0</v>
      </c>
      <c r="J17" s="260" t="s">
        <v>75</v>
      </c>
      <c r="K17" s="262">
        <v>0.0</v>
      </c>
      <c r="L17" s="263">
        <f t="shared" si="1"/>
        <v>6</v>
      </c>
      <c r="M17" s="14" t="s">
        <v>167</v>
      </c>
    </row>
    <row r="18" ht="64.5" customHeight="1">
      <c r="A18" s="257"/>
      <c r="B18" s="258"/>
      <c r="C18" s="259">
        <v>6.0</v>
      </c>
      <c r="D18" s="260" t="s">
        <v>7188</v>
      </c>
      <c r="E18" s="261">
        <v>2.0</v>
      </c>
      <c r="F18" s="260" t="s">
        <v>7189</v>
      </c>
      <c r="G18" s="261">
        <v>0.0</v>
      </c>
      <c r="H18" s="260" t="s">
        <v>7190</v>
      </c>
      <c r="I18" s="261">
        <v>3.0</v>
      </c>
      <c r="J18" s="260" t="s">
        <v>75</v>
      </c>
      <c r="K18" s="262">
        <v>0.0</v>
      </c>
      <c r="L18" s="263">
        <f t="shared" si="1"/>
        <v>5</v>
      </c>
      <c r="M18" s="14" t="s">
        <v>167</v>
      </c>
    </row>
    <row r="19" ht="64.5" customHeight="1">
      <c r="A19" s="257"/>
      <c r="B19" s="258"/>
      <c r="C19" s="259">
        <v>12.0</v>
      </c>
      <c r="D19" s="260" t="s">
        <v>7191</v>
      </c>
      <c r="E19" s="261">
        <v>0.0</v>
      </c>
      <c r="F19" s="260" t="s">
        <v>7192</v>
      </c>
      <c r="G19" s="261">
        <v>4.0</v>
      </c>
      <c r="H19" s="260" t="s">
        <v>7193</v>
      </c>
      <c r="I19" s="261">
        <v>1.0</v>
      </c>
      <c r="J19" s="260" t="s">
        <v>75</v>
      </c>
      <c r="K19" s="262">
        <v>0.0</v>
      </c>
      <c r="L19" s="263">
        <f t="shared" si="1"/>
        <v>5</v>
      </c>
      <c r="M19" s="14" t="s">
        <v>167</v>
      </c>
    </row>
  </sheetData>
  <autoFilter ref="$A$1:$M$19">
    <sortState ref="A1:M19">
      <sortCondition descending="1" ref="L1:L19"/>
      <sortCondition ref="C1:C19"/>
      <sortCondition descending="1" ref="I1:I19"/>
      <sortCondition descending="1" ref="G1:G19"/>
      <sortCondition descending="1" ref="E1:E19"/>
    </sortState>
  </autoFilter>
  <conditionalFormatting sqref="M2:M19">
    <cfRule type="cellIs" dxfId="3" priority="1" operator="equal">
      <formula>"F"</formula>
    </cfRule>
  </conditionalFormatting>
  <conditionalFormatting sqref="M2:M19">
    <cfRule type="cellIs" dxfId="4" priority="2" operator="equal">
      <formula>"E"</formula>
    </cfRule>
  </conditionalFormatting>
  <conditionalFormatting sqref="M2:M19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2:M19">
    <cfRule type="cellIs" dxfId="5" priority="4" operator="equal">
      <formula>"S"</formula>
    </cfRule>
  </conditionalFormatting>
  <conditionalFormatting sqref="M2:M19">
    <cfRule type="cellIs" dxfId="6" priority="5" operator="equal">
      <formula>"B"</formula>
    </cfRule>
  </conditionalFormatting>
  <conditionalFormatting sqref="M2:M19">
    <cfRule type="cellIs" dxfId="7" priority="6" operator="equal">
      <formula>"D"</formula>
    </cfRule>
  </conditionalFormatting>
  <conditionalFormatting sqref="M2:M19">
    <cfRule type="cellIs" dxfId="8" priority="7" operator="equal">
      <formula>"C"</formula>
    </cfRule>
  </conditionalFormatting>
  <conditionalFormatting sqref="M2:M19">
    <cfRule type="cellIs" dxfId="9" priority="8" operator="equal">
      <formula>"A"</formula>
    </cfRule>
  </conditionalFormatting>
  <conditionalFormatting sqref="L2:L19">
    <cfRule type="colorScale" priority="9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2:E19 G2:G19 I2:I19">
    <cfRule type="colorScale" priority="10">
      <colorScale>
        <cfvo type="min"/>
        <cfvo type="formula" val="5"/>
        <cfvo type="max"/>
        <color rgb="FFE67C73"/>
        <color rgb="FFFFD666"/>
        <color rgb="FF57BB8A"/>
      </colorScale>
    </cfRule>
  </conditionalFormatting>
  <conditionalFormatting sqref="K2:K19">
    <cfRule type="colorScale" priority="1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75"/>
    <col customWidth="1" min="2" max="2" width="2.63"/>
    <col customWidth="1" min="3" max="6" width="5.75"/>
    <col customWidth="1" min="7" max="7" width="2.88"/>
    <col customWidth="1" min="8" max="13" width="5.75"/>
    <col customWidth="1" min="14" max="14" width="2.88"/>
    <col customWidth="1" min="15" max="19" width="5.75"/>
    <col customWidth="1" min="20" max="20" width="2.88"/>
    <col customWidth="1" min="21" max="23" width="5.75"/>
    <col customWidth="1" min="24" max="24" width="2.88"/>
    <col customWidth="1" min="25" max="28" width="5.75"/>
    <col customWidth="1" min="29" max="29" width="2.88"/>
    <col customWidth="1" min="30" max="34" width="5.75"/>
    <col customWidth="1" min="35" max="35" width="2.88"/>
    <col customWidth="1" min="36" max="39" width="5.75"/>
    <col customWidth="1" min="40" max="40" width="2.88"/>
    <col customWidth="1" min="41" max="44" width="5.75"/>
    <col customWidth="1" min="45" max="45" width="2.88"/>
    <col customWidth="1" min="46" max="46" width="13.38"/>
    <col customWidth="1" min="47" max="48" width="3.25"/>
  </cols>
  <sheetData>
    <row r="1">
      <c r="A1" s="264" t="s">
        <v>1979</v>
      </c>
      <c r="B1" s="265"/>
      <c r="C1" s="190" t="s">
        <v>7194</v>
      </c>
      <c r="T1" s="265"/>
      <c r="U1" s="191" t="s">
        <v>7195</v>
      </c>
      <c r="AI1" s="265"/>
      <c r="AJ1" s="266" t="s">
        <v>7196</v>
      </c>
      <c r="AS1" s="265"/>
      <c r="AT1" s="192" t="s">
        <v>2061</v>
      </c>
    </row>
    <row r="2">
      <c r="A2" s="267" t="s">
        <v>1781</v>
      </c>
      <c r="B2" s="268" t="s">
        <v>2208</v>
      </c>
      <c r="C2" s="195" t="s">
        <v>7197</v>
      </c>
      <c r="G2" s="195" t="s">
        <v>1783</v>
      </c>
      <c r="H2" s="195" t="s">
        <v>7198</v>
      </c>
      <c r="N2" s="195" t="s">
        <v>1783</v>
      </c>
      <c r="O2" s="195" t="s">
        <v>7199</v>
      </c>
      <c r="T2" s="268" t="s">
        <v>1783</v>
      </c>
      <c r="U2" s="195" t="s">
        <v>2206</v>
      </c>
      <c r="X2" s="195" t="s">
        <v>1783</v>
      </c>
      <c r="Y2" s="195" t="s">
        <v>7200</v>
      </c>
      <c r="AC2" s="195" t="s">
        <v>1783</v>
      </c>
      <c r="AD2" s="195" t="s">
        <v>7201</v>
      </c>
      <c r="AH2" s="195"/>
      <c r="AI2" s="268" t="s">
        <v>1783</v>
      </c>
      <c r="AJ2" s="195" t="s">
        <v>4626</v>
      </c>
      <c r="AN2" s="195" t="s">
        <v>1783</v>
      </c>
      <c r="AO2" s="195" t="s">
        <v>7202</v>
      </c>
      <c r="AS2" s="268" t="s">
        <v>1783</v>
      </c>
      <c r="AT2" s="195" t="s">
        <v>4625</v>
      </c>
      <c r="AU2" s="195" t="s">
        <v>56</v>
      </c>
      <c r="AV2" s="195" t="s">
        <v>63</v>
      </c>
    </row>
    <row r="3" ht="33.75" customHeight="1">
      <c r="A3" s="257"/>
      <c r="B3" s="148" t="s">
        <v>5239</v>
      </c>
      <c r="C3" s="269"/>
      <c r="D3" s="269"/>
      <c r="E3" s="269"/>
      <c r="F3" s="269"/>
      <c r="G3" s="270">
        <v>7.0</v>
      </c>
      <c r="H3" s="269"/>
      <c r="I3" s="269"/>
      <c r="J3" s="269"/>
      <c r="K3" s="269"/>
      <c r="L3" s="269"/>
      <c r="M3" s="269"/>
      <c r="N3" s="270">
        <v>10.0</v>
      </c>
      <c r="O3" s="269"/>
      <c r="P3" s="269"/>
      <c r="Q3" s="269"/>
      <c r="R3" s="269"/>
      <c r="S3" s="269"/>
      <c r="T3" s="271">
        <v>7.0</v>
      </c>
      <c r="U3" s="269"/>
      <c r="V3" s="257"/>
      <c r="W3" s="269"/>
      <c r="X3" s="270">
        <v>8.0</v>
      </c>
      <c r="Y3" s="269"/>
      <c r="Z3" s="269"/>
      <c r="AA3" s="269"/>
      <c r="AB3" s="269"/>
      <c r="AC3" s="270">
        <v>10.0</v>
      </c>
      <c r="AD3" s="269"/>
      <c r="AE3" s="269"/>
      <c r="AF3" s="269"/>
      <c r="AG3" s="269"/>
      <c r="AH3" s="269"/>
      <c r="AI3" s="271">
        <v>8.0</v>
      </c>
      <c r="AJ3" s="269"/>
      <c r="AK3" s="269"/>
      <c r="AL3" s="269"/>
      <c r="AM3" s="269"/>
      <c r="AN3" s="270">
        <v>10.0</v>
      </c>
      <c r="AO3" s="269"/>
      <c r="AP3" s="269"/>
      <c r="AQ3" s="269"/>
      <c r="AR3" s="269"/>
      <c r="AS3" s="271">
        <v>10.0</v>
      </c>
      <c r="AT3" s="272" t="s">
        <v>7203</v>
      </c>
      <c r="AU3" s="269">
        <f t="shared" ref="AU3:AU20" si="1">SUM(G3,N3,T3,X3,AC3,AI3,AN3,AS3)</f>
        <v>70</v>
      </c>
      <c r="AV3" s="128" t="s">
        <v>71</v>
      </c>
    </row>
    <row r="4" ht="33.75" customHeight="1">
      <c r="A4" s="257"/>
      <c r="B4" s="148" t="s">
        <v>911</v>
      </c>
      <c r="C4" s="269"/>
      <c r="D4" s="269"/>
      <c r="E4" s="269"/>
      <c r="F4" s="269"/>
      <c r="G4" s="270">
        <v>10.0</v>
      </c>
      <c r="H4" s="269"/>
      <c r="I4" s="269"/>
      <c r="J4" s="269"/>
      <c r="K4" s="269"/>
      <c r="L4" s="269"/>
      <c r="M4" s="269"/>
      <c r="N4" s="270">
        <v>7.0</v>
      </c>
      <c r="O4" s="269"/>
      <c r="P4" s="269"/>
      <c r="Q4" s="269"/>
      <c r="R4" s="269"/>
      <c r="S4" s="269"/>
      <c r="T4" s="271">
        <v>9.0</v>
      </c>
      <c r="U4" s="269"/>
      <c r="V4" s="257"/>
      <c r="W4" s="257"/>
      <c r="X4" s="270">
        <v>10.0</v>
      </c>
      <c r="Y4" s="269"/>
      <c r="Z4" s="257"/>
      <c r="AA4" s="269"/>
      <c r="AB4" s="269"/>
      <c r="AC4" s="270">
        <v>9.0</v>
      </c>
      <c r="AD4" s="269"/>
      <c r="AE4" s="269"/>
      <c r="AF4" s="269"/>
      <c r="AG4" s="257"/>
      <c r="AH4" s="269"/>
      <c r="AI4" s="271">
        <v>6.0</v>
      </c>
      <c r="AJ4" s="269"/>
      <c r="AK4" s="269"/>
      <c r="AL4" s="269"/>
      <c r="AM4" s="269"/>
      <c r="AN4" s="270">
        <v>10.0</v>
      </c>
      <c r="AO4" s="269"/>
      <c r="AP4" s="269"/>
      <c r="AQ4" s="269"/>
      <c r="AR4" s="269"/>
      <c r="AS4" s="271">
        <v>8.0</v>
      </c>
      <c r="AT4" s="272" t="s">
        <v>7204</v>
      </c>
      <c r="AU4" s="269">
        <f t="shared" si="1"/>
        <v>69</v>
      </c>
      <c r="AV4" s="128" t="s">
        <v>71</v>
      </c>
    </row>
    <row r="5" ht="33.75" customHeight="1">
      <c r="A5" s="257"/>
      <c r="B5" s="148" t="s">
        <v>5236</v>
      </c>
      <c r="C5" s="269"/>
      <c r="D5" s="269"/>
      <c r="E5" s="269"/>
      <c r="F5" s="269"/>
      <c r="G5" s="270">
        <v>6.0</v>
      </c>
      <c r="H5" s="269"/>
      <c r="I5" s="269"/>
      <c r="J5" s="269"/>
      <c r="K5" s="269"/>
      <c r="L5" s="269"/>
      <c r="M5" s="269"/>
      <c r="N5" s="270">
        <v>5.0</v>
      </c>
      <c r="O5" s="269"/>
      <c r="P5" s="269"/>
      <c r="Q5" s="269"/>
      <c r="R5" s="269"/>
      <c r="S5" s="269"/>
      <c r="T5" s="271">
        <v>7.0</v>
      </c>
      <c r="U5" s="269"/>
      <c r="V5" s="269"/>
      <c r="W5" s="257"/>
      <c r="X5" s="270">
        <v>10.0</v>
      </c>
      <c r="Y5" s="269"/>
      <c r="Z5" s="269"/>
      <c r="AA5" s="269"/>
      <c r="AB5" s="269"/>
      <c r="AC5" s="270">
        <v>2.0</v>
      </c>
      <c r="AD5" s="269"/>
      <c r="AE5" s="269"/>
      <c r="AF5" s="269"/>
      <c r="AG5" s="269"/>
      <c r="AH5" s="269"/>
      <c r="AI5" s="271">
        <v>4.0</v>
      </c>
      <c r="AJ5" s="269"/>
      <c r="AK5" s="269"/>
      <c r="AL5" s="269"/>
      <c r="AM5" s="269"/>
      <c r="AN5" s="270">
        <v>10.0</v>
      </c>
      <c r="AO5" s="269"/>
      <c r="AP5" s="269"/>
      <c r="AQ5" s="269"/>
      <c r="AR5" s="269"/>
      <c r="AS5" s="271">
        <v>8.0</v>
      </c>
      <c r="AT5" s="272" t="s">
        <v>7205</v>
      </c>
      <c r="AU5" s="269">
        <f t="shared" si="1"/>
        <v>52</v>
      </c>
      <c r="AV5" s="128" t="s">
        <v>92</v>
      </c>
    </row>
    <row r="6" ht="33.75" customHeight="1">
      <c r="A6" s="257"/>
      <c r="B6" s="148" t="s">
        <v>5236</v>
      </c>
      <c r="C6" s="269"/>
      <c r="D6" s="269"/>
      <c r="E6" s="269"/>
      <c r="F6" s="269"/>
      <c r="G6" s="270">
        <v>7.0</v>
      </c>
      <c r="H6" s="269"/>
      <c r="I6" s="269"/>
      <c r="J6" s="269"/>
      <c r="K6" s="269"/>
      <c r="L6" s="269"/>
      <c r="M6" s="269"/>
      <c r="N6" s="270">
        <v>7.0</v>
      </c>
      <c r="O6" s="269"/>
      <c r="P6" s="269"/>
      <c r="Q6" s="269"/>
      <c r="R6" s="269"/>
      <c r="S6" s="269"/>
      <c r="T6" s="271">
        <v>1.0</v>
      </c>
      <c r="U6" s="257"/>
      <c r="V6" s="269"/>
      <c r="W6" s="269"/>
      <c r="X6" s="270">
        <v>2.0</v>
      </c>
      <c r="Y6" s="269"/>
      <c r="Z6" s="269"/>
      <c r="AA6" s="269"/>
      <c r="AB6" s="269"/>
      <c r="AC6" s="270">
        <v>7.0</v>
      </c>
      <c r="AD6" s="269"/>
      <c r="AE6" s="269"/>
      <c r="AF6" s="269"/>
      <c r="AG6" s="269"/>
      <c r="AH6" s="269"/>
      <c r="AI6" s="271">
        <v>9.0</v>
      </c>
      <c r="AJ6" s="269"/>
      <c r="AK6" s="269"/>
      <c r="AL6" s="269"/>
      <c r="AM6" s="269"/>
      <c r="AN6" s="270">
        <v>8.0</v>
      </c>
      <c r="AO6" s="269"/>
      <c r="AP6" s="269"/>
      <c r="AQ6" s="269"/>
      <c r="AR6" s="269"/>
      <c r="AS6" s="271">
        <v>6.0</v>
      </c>
      <c r="AT6" s="272" t="s">
        <v>7206</v>
      </c>
      <c r="AU6" s="269">
        <f t="shared" si="1"/>
        <v>47</v>
      </c>
      <c r="AV6" s="128" t="s">
        <v>92</v>
      </c>
    </row>
    <row r="7" ht="33.75" customHeight="1">
      <c r="A7" s="257"/>
      <c r="B7" s="148" t="s">
        <v>5239</v>
      </c>
      <c r="C7" s="269"/>
      <c r="D7" s="269"/>
      <c r="E7" s="269"/>
      <c r="F7" s="269"/>
      <c r="G7" s="270">
        <v>0.0</v>
      </c>
      <c r="H7" s="269"/>
      <c r="I7" s="269"/>
      <c r="J7" s="269"/>
      <c r="K7" s="269"/>
      <c r="L7" s="269"/>
      <c r="M7" s="269"/>
      <c r="N7" s="270">
        <v>9.0</v>
      </c>
      <c r="O7" s="269"/>
      <c r="P7" s="269"/>
      <c r="Q7" s="269"/>
      <c r="R7" s="269"/>
      <c r="S7" s="269"/>
      <c r="T7" s="271">
        <v>6.0</v>
      </c>
      <c r="U7" s="269"/>
      <c r="V7" s="269"/>
      <c r="W7" s="269"/>
      <c r="X7" s="270">
        <v>3.0</v>
      </c>
      <c r="Y7" s="269"/>
      <c r="Z7" s="269"/>
      <c r="AA7" s="269"/>
      <c r="AB7" s="269"/>
      <c r="AC7" s="270">
        <v>5.0</v>
      </c>
      <c r="AD7" s="257"/>
      <c r="AE7" s="269"/>
      <c r="AF7" s="269"/>
      <c r="AG7" s="269"/>
      <c r="AH7" s="269"/>
      <c r="AI7" s="271">
        <v>10.0</v>
      </c>
      <c r="AJ7" s="269"/>
      <c r="AK7" s="269"/>
      <c r="AL7" s="269"/>
      <c r="AM7" s="269"/>
      <c r="AN7" s="270">
        <v>3.0</v>
      </c>
      <c r="AO7" s="269"/>
      <c r="AP7" s="269"/>
      <c r="AQ7" s="269"/>
      <c r="AR7" s="269"/>
      <c r="AS7" s="271">
        <v>9.0</v>
      </c>
      <c r="AT7" s="272" t="s">
        <v>7207</v>
      </c>
      <c r="AU7" s="269">
        <f t="shared" si="1"/>
        <v>45</v>
      </c>
      <c r="AV7" s="128" t="s">
        <v>92</v>
      </c>
    </row>
    <row r="8" ht="33.75" customHeight="1">
      <c r="A8" s="257"/>
      <c r="B8" s="273" t="s">
        <v>5236</v>
      </c>
      <c r="C8" s="269"/>
      <c r="D8" s="269"/>
      <c r="E8" s="269"/>
      <c r="F8" s="269"/>
      <c r="G8" s="270">
        <v>5.0</v>
      </c>
      <c r="H8" s="269"/>
      <c r="I8" s="269"/>
      <c r="J8" s="269"/>
      <c r="K8" s="269"/>
      <c r="L8" s="269"/>
      <c r="M8" s="269"/>
      <c r="N8" s="270">
        <v>4.0</v>
      </c>
      <c r="O8" s="269"/>
      <c r="P8" s="269"/>
      <c r="Q8" s="269"/>
      <c r="R8" s="269"/>
      <c r="S8" s="269"/>
      <c r="T8" s="271">
        <v>4.0</v>
      </c>
      <c r="U8" s="269"/>
      <c r="V8" s="269"/>
      <c r="W8" s="269"/>
      <c r="X8" s="270">
        <v>9.0</v>
      </c>
      <c r="Y8" s="269"/>
      <c r="Z8" s="269"/>
      <c r="AA8" s="269"/>
      <c r="AB8" s="269"/>
      <c r="AC8" s="270">
        <v>3.0</v>
      </c>
      <c r="AD8" s="269"/>
      <c r="AE8" s="269"/>
      <c r="AF8" s="269"/>
      <c r="AG8" s="269"/>
      <c r="AH8" s="269"/>
      <c r="AI8" s="271">
        <v>6.0</v>
      </c>
      <c r="AJ8" s="269"/>
      <c r="AK8" s="269"/>
      <c r="AL8" s="269"/>
      <c r="AM8" s="269"/>
      <c r="AN8" s="270">
        <v>7.0</v>
      </c>
      <c r="AO8" s="269"/>
      <c r="AP8" s="269"/>
      <c r="AQ8" s="269"/>
      <c r="AR8" s="269"/>
      <c r="AS8" s="271">
        <v>7.0</v>
      </c>
      <c r="AT8" s="272" t="s">
        <v>7208</v>
      </c>
      <c r="AU8" s="269">
        <f t="shared" si="1"/>
        <v>45</v>
      </c>
      <c r="AV8" s="128" t="s">
        <v>92</v>
      </c>
    </row>
    <row r="9" ht="33.75" customHeight="1">
      <c r="A9" s="257"/>
      <c r="B9" s="273" t="s">
        <v>5239</v>
      </c>
      <c r="C9" s="269"/>
      <c r="D9" s="269"/>
      <c r="E9" s="269"/>
      <c r="F9" s="269"/>
      <c r="G9" s="270">
        <v>8.0</v>
      </c>
      <c r="H9" s="269"/>
      <c r="I9" s="269"/>
      <c r="J9" s="269"/>
      <c r="K9" s="269"/>
      <c r="L9" s="269"/>
      <c r="M9" s="269"/>
      <c r="N9" s="270">
        <v>2.0</v>
      </c>
      <c r="O9" s="269"/>
      <c r="P9" s="269"/>
      <c r="Q9" s="269"/>
      <c r="R9" s="269"/>
      <c r="S9" s="269"/>
      <c r="T9" s="271">
        <v>10.0</v>
      </c>
      <c r="U9" s="269"/>
      <c r="V9" s="269"/>
      <c r="W9" s="269"/>
      <c r="X9" s="270">
        <v>7.0</v>
      </c>
      <c r="Y9" s="269"/>
      <c r="Z9" s="269"/>
      <c r="AA9" s="269"/>
      <c r="AB9" s="269"/>
      <c r="AC9" s="270">
        <v>2.0</v>
      </c>
      <c r="AD9" s="269"/>
      <c r="AE9" s="269"/>
      <c r="AF9" s="269"/>
      <c r="AG9" s="269"/>
      <c r="AH9" s="269"/>
      <c r="AI9" s="271">
        <v>3.0</v>
      </c>
      <c r="AJ9" s="269"/>
      <c r="AK9" s="269"/>
      <c r="AL9" s="269"/>
      <c r="AM9" s="269"/>
      <c r="AN9" s="270">
        <v>6.0</v>
      </c>
      <c r="AO9" s="269"/>
      <c r="AP9" s="269"/>
      <c r="AQ9" s="269"/>
      <c r="AR9" s="269"/>
      <c r="AS9" s="271">
        <v>7.0</v>
      </c>
      <c r="AT9" s="272" t="s">
        <v>7209</v>
      </c>
      <c r="AU9" s="269">
        <f t="shared" si="1"/>
        <v>45</v>
      </c>
      <c r="AV9" s="128" t="s">
        <v>92</v>
      </c>
    </row>
    <row r="10" ht="33.75" customHeight="1">
      <c r="A10" s="257"/>
      <c r="B10" s="273" t="s">
        <v>5239</v>
      </c>
      <c r="C10" s="269"/>
      <c r="D10" s="269"/>
      <c r="E10" s="269"/>
      <c r="F10" s="269"/>
      <c r="G10" s="270">
        <v>5.0</v>
      </c>
      <c r="H10" s="269"/>
      <c r="I10" s="269"/>
      <c r="J10" s="269"/>
      <c r="K10" s="269"/>
      <c r="L10" s="269"/>
      <c r="M10" s="269"/>
      <c r="N10" s="270">
        <v>5.0</v>
      </c>
      <c r="O10" s="269"/>
      <c r="P10" s="269"/>
      <c r="Q10" s="269"/>
      <c r="R10" s="269"/>
      <c r="S10" s="269"/>
      <c r="T10" s="271">
        <v>3.0</v>
      </c>
      <c r="U10" s="269"/>
      <c r="V10" s="269"/>
      <c r="W10" s="269"/>
      <c r="X10" s="270">
        <v>6.0</v>
      </c>
      <c r="Y10" s="269"/>
      <c r="Z10" s="269"/>
      <c r="AA10" s="269"/>
      <c r="AB10" s="269"/>
      <c r="AC10" s="270">
        <v>7.0</v>
      </c>
      <c r="AD10" s="269"/>
      <c r="AE10" s="269"/>
      <c r="AF10" s="269"/>
      <c r="AG10" s="269"/>
      <c r="AH10" s="269"/>
      <c r="AI10" s="271">
        <v>4.0</v>
      </c>
      <c r="AJ10" s="269"/>
      <c r="AK10" s="269"/>
      <c r="AL10" s="269"/>
      <c r="AM10" s="269"/>
      <c r="AN10" s="270">
        <v>7.0</v>
      </c>
      <c r="AO10" s="269"/>
      <c r="AP10" s="269"/>
      <c r="AQ10" s="269"/>
      <c r="AR10" s="269"/>
      <c r="AS10" s="271">
        <v>6.0</v>
      </c>
      <c r="AT10" s="272" t="s">
        <v>7210</v>
      </c>
      <c r="AU10" s="269">
        <f t="shared" si="1"/>
        <v>43</v>
      </c>
      <c r="AV10" s="128" t="s">
        <v>92</v>
      </c>
    </row>
    <row r="11" ht="33.75" customHeight="1">
      <c r="A11" s="257"/>
      <c r="B11" s="273" t="s">
        <v>5236</v>
      </c>
      <c r="C11" s="269"/>
      <c r="D11" s="269"/>
      <c r="E11" s="269"/>
      <c r="F11" s="269"/>
      <c r="G11" s="270">
        <v>0.0</v>
      </c>
      <c r="H11" s="269"/>
      <c r="I11" s="269"/>
      <c r="J11" s="269"/>
      <c r="K11" s="269"/>
      <c r="L11" s="269"/>
      <c r="M11" s="269"/>
      <c r="N11" s="270">
        <v>8.0</v>
      </c>
      <c r="O11" s="269"/>
      <c r="P11" s="269"/>
      <c r="Q11" s="269"/>
      <c r="R11" s="269"/>
      <c r="S11" s="269"/>
      <c r="T11" s="271">
        <v>8.0</v>
      </c>
      <c r="U11" s="269"/>
      <c r="V11" s="269"/>
      <c r="W11" s="269"/>
      <c r="X11" s="270">
        <v>3.0</v>
      </c>
      <c r="Y11" s="269"/>
      <c r="Z11" s="269"/>
      <c r="AA11" s="269"/>
      <c r="AB11" s="269"/>
      <c r="AC11" s="270">
        <v>8.0</v>
      </c>
      <c r="AD11" s="269"/>
      <c r="AE11" s="269"/>
      <c r="AF11" s="269"/>
      <c r="AG11" s="269"/>
      <c r="AH11" s="269"/>
      <c r="AI11" s="271">
        <v>3.0</v>
      </c>
      <c r="AJ11" s="269"/>
      <c r="AK11" s="269"/>
      <c r="AL11" s="269"/>
      <c r="AM11" s="269"/>
      <c r="AN11" s="270">
        <v>7.0</v>
      </c>
      <c r="AO11" s="269"/>
      <c r="AP11" s="269"/>
      <c r="AQ11" s="269"/>
      <c r="AR11" s="269"/>
      <c r="AS11" s="271">
        <v>6.0</v>
      </c>
      <c r="AT11" s="272" t="s">
        <v>7211</v>
      </c>
      <c r="AU11" s="269">
        <f t="shared" si="1"/>
        <v>43</v>
      </c>
      <c r="AV11" s="128" t="s">
        <v>92</v>
      </c>
    </row>
    <row r="12" ht="33.75" customHeight="1">
      <c r="A12" s="257"/>
      <c r="B12" s="273" t="s">
        <v>911</v>
      </c>
      <c r="C12" s="269"/>
      <c r="D12" s="269"/>
      <c r="E12" s="269"/>
      <c r="F12" s="269"/>
      <c r="G12" s="270">
        <v>0.0</v>
      </c>
      <c r="H12" s="269"/>
      <c r="I12" s="269"/>
      <c r="J12" s="269"/>
      <c r="K12" s="269"/>
      <c r="L12" s="269"/>
      <c r="M12" s="269"/>
      <c r="N12" s="270">
        <v>5.0</v>
      </c>
      <c r="O12" s="269"/>
      <c r="P12" s="269"/>
      <c r="Q12" s="269"/>
      <c r="R12" s="269"/>
      <c r="S12" s="269"/>
      <c r="T12" s="271">
        <v>4.0</v>
      </c>
      <c r="U12" s="269"/>
      <c r="V12" s="269"/>
      <c r="W12" s="269"/>
      <c r="X12" s="270">
        <v>8.0</v>
      </c>
      <c r="Y12" s="269"/>
      <c r="Z12" s="269"/>
      <c r="AA12" s="269"/>
      <c r="AB12" s="269"/>
      <c r="AC12" s="270">
        <v>4.0</v>
      </c>
      <c r="AD12" s="269"/>
      <c r="AE12" s="269"/>
      <c r="AF12" s="269"/>
      <c r="AG12" s="269"/>
      <c r="AH12" s="269"/>
      <c r="AI12" s="271">
        <v>7.0</v>
      </c>
      <c r="AJ12" s="269"/>
      <c r="AK12" s="269"/>
      <c r="AL12" s="269"/>
      <c r="AM12" s="269"/>
      <c r="AN12" s="270">
        <v>3.0</v>
      </c>
      <c r="AO12" s="269"/>
      <c r="AP12" s="269"/>
      <c r="AQ12" s="269"/>
      <c r="AR12" s="269"/>
      <c r="AS12" s="271">
        <v>7.0</v>
      </c>
      <c r="AT12" s="272" t="s">
        <v>7212</v>
      </c>
      <c r="AU12" s="269">
        <f t="shared" si="1"/>
        <v>38</v>
      </c>
      <c r="AV12" s="128" t="s">
        <v>120</v>
      </c>
    </row>
    <row r="13" ht="33.75" customHeight="1">
      <c r="A13" s="257"/>
      <c r="B13" s="148" t="s">
        <v>911</v>
      </c>
      <c r="C13" s="269"/>
      <c r="D13" s="269"/>
      <c r="E13" s="269"/>
      <c r="F13" s="269"/>
      <c r="G13" s="270">
        <v>0.0</v>
      </c>
      <c r="H13" s="269"/>
      <c r="I13" s="269"/>
      <c r="J13" s="269"/>
      <c r="K13" s="269"/>
      <c r="L13" s="269"/>
      <c r="M13" s="269"/>
      <c r="N13" s="270">
        <v>7.0</v>
      </c>
      <c r="O13" s="269"/>
      <c r="P13" s="269"/>
      <c r="Q13" s="269"/>
      <c r="R13" s="269"/>
      <c r="S13" s="269"/>
      <c r="T13" s="271">
        <v>7.0</v>
      </c>
      <c r="U13" s="269"/>
      <c r="V13" s="269"/>
      <c r="W13" s="269"/>
      <c r="X13" s="270">
        <v>9.0</v>
      </c>
      <c r="Y13" s="269"/>
      <c r="Z13" s="269"/>
      <c r="AA13" s="269"/>
      <c r="AB13" s="269"/>
      <c r="AC13" s="270">
        <v>0.0</v>
      </c>
      <c r="AD13" s="257"/>
      <c r="AE13" s="269"/>
      <c r="AF13" s="269"/>
      <c r="AG13" s="269"/>
      <c r="AH13" s="269"/>
      <c r="AI13" s="271">
        <v>5.0</v>
      </c>
      <c r="AJ13" s="269"/>
      <c r="AK13" s="269"/>
      <c r="AL13" s="269"/>
      <c r="AM13" s="269"/>
      <c r="AN13" s="270">
        <v>4.0</v>
      </c>
      <c r="AO13" s="269"/>
      <c r="AP13" s="269"/>
      <c r="AQ13" s="269"/>
      <c r="AR13" s="269"/>
      <c r="AS13" s="271">
        <v>6.0</v>
      </c>
      <c r="AT13" s="272" t="s">
        <v>7213</v>
      </c>
      <c r="AU13" s="269">
        <f t="shared" si="1"/>
        <v>38</v>
      </c>
      <c r="AV13" s="128" t="s">
        <v>120</v>
      </c>
    </row>
    <row r="14" ht="33.75" customHeight="1">
      <c r="A14" s="257"/>
      <c r="B14" s="273" t="s">
        <v>5236</v>
      </c>
      <c r="C14" s="269"/>
      <c r="D14" s="269"/>
      <c r="E14" s="269"/>
      <c r="F14" s="269"/>
      <c r="G14" s="270">
        <v>0.0</v>
      </c>
      <c r="H14" s="269"/>
      <c r="I14" s="269"/>
      <c r="J14" s="269"/>
      <c r="K14" s="269"/>
      <c r="L14" s="269"/>
      <c r="M14" s="269"/>
      <c r="N14" s="270">
        <v>9.0</v>
      </c>
      <c r="O14" s="269"/>
      <c r="P14" s="269"/>
      <c r="Q14" s="269"/>
      <c r="R14" s="269"/>
      <c r="S14" s="269"/>
      <c r="T14" s="271">
        <v>8.0</v>
      </c>
      <c r="U14" s="269"/>
      <c r="V14" s="269"/>
      <c r="W14" s="269"/>
      <c r="X14" s="270">
        <v>4.0</v>
      </c>
      <c r="Y14" s="269"/>
      <c r="Z14" s="269"/>
      <c r="AA14" s="269"/>
      <c r="AB14" s="269"/>
      <c r="AC14" s="270">
        <v>0.0</v>
      </c>
      <c r="AD14" s="269"/>
      <c r="AE14" s="269"/>
      <c r="AF14" s="269"/>
      <c r="AG14" s="269"/>
      <c r="AH14" s="269"/>
      <c r="AI14" s="271">
        <v>5.0</v>
      </c>
      <c r="AJ14" s="269"/>
      <c r="AK14" s="269"/>
      <c r="AL14" s="269"/>
      <c r="AM14" s="269"/>
      <c r="AN14" s="270">
        <v>6.0</v>
      </c>
      <c r="AO14" s="269"/>
      <c r="AP14" s="269"/>
      <c r="AQ14" s="269"/>
      <c r="AR14" s="269"/>
      <c r="AS14" s="271">
        <v>4.0</v>
      </c>
      <c r="AT14" s="272" t="s">
        <v>7214</v>
      </c>
      <c r="AU14" s="269">
        <f t="shared" si="1"/>
        <v>36</v>
      </c>
      <c r="AV14" s="128" t="s">
        <v>120</v>
      </c>
    </row>
    <row r="15" ht="33.75" customHeight="1">
      <c r="A15" s="257"/>
      <c r="B15" s="273" t="s">
        <v>911</v>
      </c>
      <c r="C15" s="269"/>
      <c r="D15" s="269"/>
      <c r="E15" s="269"/>
      <c r="F15" s="269"/>
      <c r="G15" s="270">
        <v>9.0</v>
      </c>
      <c r="H15" s="269"/>
      <c r="I15" s="269"/>
      <c r="J15" s="269"/>
      <c r="K15" s="269"/>
      <c r="L15" s="269"/>
      <c r="M15" s="269"/>
      <c r="N15" s="270">
        <v>4.0</v>
      </c>
      <c r="O15" s="269"/>
      <c r="P15" s="269"/>
      <c r="Q15" s="269"/>
      <c r="R15" s="269"/>
      <c r="S15" s="269"/>
      <c r="T15" s="271">
        <v>5.0</v>
      </c>
      <c r="U15" s="257"/>
      <c r="V15" s="269"/>
      <c r="W15" s="269"/>
      <c r="X15" s="270">
        <v>3.0</v>
      </c>
      <c r="Y15" s="269"/>
      <c r="Z15" s="269"/>
      <c r="AA15" s="269"/>
      <c r="AB15" s="269"/>
      <c r="AC15" s="270">
        <v>0.0</v>
      </c>
      <c r="AD15" s="269"/>
      <c r="AE15" s="269"/>
      <c r="AF15" s="269"/>
      <c r="AG15" s="269"/>
      <c r="AH15" s="269"/>
      <c r="AI15" s="271">
        <v>3.0</v>
      </c>
      <c r="AJ15" s="269"/>
      <c r="AK15" s="269"/>
      <c r="AL15" s="269"/>
      <c r="AM15" s="269"/>
      <c r="AN15" s="270">
        <v>9.0</v>
      </c>
      <c r="AO15" s="269"/>
      <c r="AP15" s="269"/>
      <c r="AQ15" s="269"/>
      <c r="AR15" s="269"/>
      <c r="AS15" s="271">
        <v>3.0</v>
      </c>
      <c r="AT15" s="272" t="s">
        <v>7215</v>
      </c>
      <c r="AU15" s="269">
        <f t="shared" si="1"/>
        <v>36</v>
      </c>
      <c r="AV15" s="128" t="s">
        <v>120</v>
      </c>
    </row>
    <row r="16" ht="33.75" customHeight="1">
      <c r="A16" s="257"/>
      <c r="B16" s="273" t="s">
        <v>911</v>
      </c>
      <c r="C16" s="269"/>
      <c r="D16" s="269"/>
      <c r="E16" s="269"/>
      <c r="F16" s="269"/>
      <c r="G16" s="270">
        <v>7.0</v>
      </c>
      <c r="H16" s="269"/>
      <c r="I16" s="269"/>
      <c r="J16" s="269"/>
      <c r="K16" s="269"/>
      <c r="L16" s="269"/>
      <c r="M16" s="269"/>
      <c r="N16" s="270">
        <v>5.0</v>
      </c>
      <c r="O16" s="269"/>
      <c r="P16" s="269"/>
      <c r="Q16" s="269"/>
      <c r="R16" s="269"/>
      <c r="S16" s="269"/>
      <c r="T16" s="271">
        <v>5.0</v>
      </c>
      <c r="U16" s="257"/>
      <c r="V16" s="269"/>
      <c r="W16" s="269"/>
      <c r="X16" s="270">
        <v>1.0</v>
      </c>
      <c r="Y16" s="269"/>
      <c r="Z16" s="269"/>
      <c r="AA16" s="269"/>
      <c r="AB16" s="269"/>
      <c r="AC16" s="270">
        <v>4.0</v>
      </c>
      <c r="AD16" s="269"/>
      <c r="AE16" s="269"/>
      <c r="AF16" s="269"/>
      <c r="AG16" s="269"/>
      <c r="AH16" s="269"/>
      <c r="AI16" s="271">
        <v>1.0</v>
      </c>
      <c r="AJ16" s="269"/>
      <c r="AK16" s="269"/>
      <c r="AL16" s="269"/>
      <c r="AM16" s="269"/>
      <c r="AN16" s="270">
        <v>5.0</v>
      </c>
      <c r="AO16" s="269"/>
      <c r="AP16" s="269"/>
      <c r="AQ16" s="269"/>
      <c r="AR16" s="269"/>
      <c r="AS16" s="271">
        <v>5.0</v>
      </c>
      <c r="AT16" s="272" t="s">
        <v>7216</v>
      </c>
      <c r="AU16" s="269">
        <f t="shared" si="1"/>
        <v>33</v>
      </c>
      <c r="AV16" s="128" t="s">
        <v>136</v>
      </c>
    </row>
    <row r="17" ht="33.75" customHeight="1">
      <c r="A17" s="257"/>
      <c r="B17" s="273" t="s">
        <v>5236</v>
      </c>
      <c r="C17" s="269"/>
      <c r="D17" s="269"/>
      <c r="E17" s="269"/>
      <c r="F17" s="269"/>
      <c r="G17" s="270">
        <v>7.0</v>
      </c>
      <c r="H17" s="269"/>
      <c r="I17" s="269"/>
      <c r="J17" s="269"/>
      <c r="K17" s="269"/>
      <c r="L17" s="269"/>
      <c r="M17" s="269"/>
      <c r="N17" s="270">
        <v>7.0</v>
      </c>
      <c r="O17" s="269"/>
      <c r="P17" s="269"/>
      <c r="Q17" s="269"/>
      <c r="R17" s="269"/>
      <c r="S17" s="269"/>
      <c r="T17" s="271">
        <v>2.0</v>
      </c>
      <c r="U17" s="257"/>
      <c r="V17" s="269"/>
      <c r="W17" s="269"/>
      <c r="X17" s="270">
        <v>5.0</v>
      </c>
      <c r="Y17" s="269"/>
      <c r="Z17" s="269"/>
      <c r="AA17" s="269"/>
      <c r="AB17" s="269"/>
      <c r="AC17" s="270">
        <v>1.0</v>
      </c>
      <c r="AD17" s="269"/>
      <c r="AE17" s="269"/>
      <c r="AF17" s="269"/>
      <c r="AG17" s="269"/>
      <c r="AH17" s="269"/>
      <c r="AI17" s="271">
        <v>1.0</v>
      </c>
      <c r="AJ17" s="269"/>
      <c r="AK17" s="269"/>
      <c r="AL17" s="269"/>
      <c r="AM17" s="269"/>
      <c r="AN17" s="270">
        <v>5.0</v>
      </c>
      <c r="AO17" s="269"/>
      <c r="AP17" s="269"/>
      <c r="AQ17" s="269"/>
      <c r="AR17" s="269"/>
      <c r="AS17" s="271">
        <v>4.0</v>
      </c>
      <c r="AT17" s="272" t="s">
        <v>7217</v>
      </c>
      <c r="AU17" s="269">
        <f t="shared" si="1"/>
        <v>32</v>
      </c>
      <c r="AV17" s="128" t="s">
        <v>136</v>
      </c>
    </row>
    <row r="18" ht="33.75" customHeight="1">
      <c r="A18" s="257"/>
      <c r="B18" s="148" t="s">
        <v>911</v>
      </c>
      <c r="C18" s="269"/>
      <c r="D18" s="269"/>
      <c r="E18" s="269"/>
      <c r="F18" s="269"/>
      <c r="G18" s="270">
        <v>7.0</v>
      </c>
      <c r="H18" s="269"/>
      <c r="I18" s="269"/>
      <c r="J18" s="269"/>
      <c r="K18" s="269"/>
      <c r="L18" s="269"/>
      <c r="M18" s="269"/>
      <c r="N18" s="270">
        <v>4.0</v>
      </c>
      <c r="O18" s="269"/>
      <c r="P18" s="269"/>
      <c r="Q18" s="269"/>
      <c r="R18" s="269"/>
      <c r="S18" s="269"/>
      <c r="T18" s="271">
        <v>2.0</v>
      </c>
      <c r="U18" s="257"/>
      <c r="V18" s="257"/>
      <c r="W18" s="257"/>
      <c r="X18" s="270">
        <v>3.0</v>
      </c>
      <c r="Y18" s="269"/>
      <c r="Z18" s="269"/>
      <c r="AA18" s="269"/>
      <c r="AB18" s="269"/>
      <c r="AC18" s="270">
        <v>0.0</v>
      </c>
      <c r="AD18" s="269"/>
      <c r="AE18" s="269"/>
      <c r="AF18" s="269"/>
      <c r="AG18" s="269"/>
      <c r="AH18" s="269"/>
      <c r="AI18" s="271">
        <v>4.0</v>
      </c>
      <c r="AJ18" s="269"/>
      <c r="AK18" s="269"/>
      <c r="AL18" s="269"/>
      <c r="AM18" s="269"/>
      <c r="AN18" s="270">
        <v>5.0</v>
      </c>
      <c r="AO18" s="269"/>
      <c r="AP18" s="269"/>
      <c r="AQ18" s="269"/>
      <c r="AR18" s="269"/>
      <c r="AS18" s="271">
        <v>6.0</v>
      </c>
      <c r="AT18" s="272" t="s">
        <v>7218</v>
      </c>
      <c r="AU18" s="269">
        <f t="shared" si="1"/>
        <v>31</v>
      </c>
      <c r="AV18" s="128" t="s">
        <v>136</v>
      </c>
    </row>
    <row r="19" ht="33.75" customHeight="1">
      <c r="A19" s="257"/>
      <c r="B19" s="148" t="s">
        <v>5239</v>
      </c>
      <c r="C19" s="269"/>
      <c r="D19" s="269"/>
      <c r="E19" s="269"/>
      <c r="F19" s="269"/>
      <c r="G19" s="270">
        <v>0.0</v>
      </c>
      <c r="H19" s="269"/>
      <c r="I19" s="269"/>
      <c r="J19" s="269"/>
      <c r="K19" s="269"/>
      <c r="L19" s="269"/>
      <c r="M19" s="269"/>
      <c r="N19" s="270">
        <v>8.0</v>
      </c>
      <c r="O19" s="269"/>
      <c r="P19" s="269"/>
      <c r="Q19" s="269"/>
      <c r="R19" s="269"/>
      <c r="S19" s="269"/>
      <c r="T19" s="271">
        <v>4.0</v>
      </c>
      <c r="U19" s="269"/>
      <c r="V19" s="269"/>
      <c r="W19" s="269"/>
      <c r="X19" s="270">
        <v>5.0</v>
      </c>
      <c r="Y19" s="269"/>
      <c r="Z19" s="269"/>
      <c r="AA19" s="269"/>
      <c r="AB19" s="269"/>
      <c r="AC19" s="270">
        <v>0.0</v>
      </c>
      <c r="AD19" s="269"/>
      <c r="AE19" s="269"/>
      <c r="AF19" s="269"/>
      <c r="AG19" s="269"/>
      <c r="AH19" s="269"/>
      <c r="AI19" s="271">
        <v>3.0</v>
      </c>
      <c r="AJ19" s="269"/>
      <c r="AK19" s="269"/>
      <c r="AL19" s="269"/>
      <c r="AM19" s="269"/>
      <c r="AN19" s="270">
        <v>6.0</v>
      </c>
      <c r="AO19" s="269"/>
      <c r="AP19" s="269"/>
      <c r="AQ19" s="269"/>
      <c r="AR19" s="269"/>
      <c r="AS19" s="271">
        <v>4.0</v>
      </c>
      <c r="AT19" s="272" t="s">
        <v>7219</v>
      </c>
      <c r="AU19" s="269">
        <f t="shared" si="1"/>
        <v>30</v>
      </c>
      <c r="AV19" s="128" t="s">
        <v>136</v>
      </c>
    </row>
    <row r="20" ht="33.75" customHeight="1">
      <c r="A20" s="257"/>
      <c r="B20" s="273" t="s">
        <v>5239</v>
      </c>
      <c r="C20" s="269"/>
      <c r="D20" s="269"/>
      <c r="E20" s="269"/>
      <c r="F20" s="269"/>
      <c r="G20" s="270">
        <v>3.0</v>
      </c>
      <c r="H20" s="269"/>
      <c r="I20" s="269"/>
      <c r="J20" s="269"/>
      <c r="K20" s="269"/>
      <c r="L20" s="269"/>
      <c r="M20" s="269"/>
      <c r="N20" s="270">
        <v>6.0</v>
      </c>
      <c r="O20" s="269"/>
      <c r="P20" s="269"/>
      <c r="Q20" s="269"/>
      <c r="R20" s="269"/>
      <c r="S20" s="269"/>
      <c r="T20" s="271">
        <v>1.0</v>
      </c>
      <c r="U20" s="269"/>
      <c r="V20" s="269"/>
      <c r="W20" s="269"/>
      <c r="X20" s="270">
        <v>1.0</v>
      </c>
      <c r="Y20" s="269"/>
      <c r="Z20" s="269"/>
      <c r="AA20" s="269"/>
      <c r="AB20" s="269"/>
      <c r="AC20" s="270">
        <v>0.0</v>
      </c>
      <c r="AD20" s="269"/>
      <c r="AE20" s="269"/>
      <c r="AF20" s="269"/>
      <c r="AG20" s="269"/>
      <c r="AH20" s="269"/>
      <c r="AI20" s="271">
        <v>3.0</v>
      </c>
      <c r="AJ20" s="269"/>
      <c r="AK20" s="269"/>
      <c r="AL20" s="269"/>
      <c r="AM20" s="269"/>
      <c r="AN20" s="270">
        <v>3.0</v>
      </c>
      <c r="AO20" s="269"/>
      <c r="AP20" s="269"/>
      <c r="AQ20" s="269"/>
      <c r="AR20" s="269"/>
      <c r="AS20" s="271">
        <v>3.0</v>
      </c>
      <c r="AT20" s="272" t="s">
        <v>7220</v>
      </c>
      <c r="AU20" s="269">
        <f t="shared" si="1"/>
        <v>20</v>
      </c>
      <c r="AV20" s="128" t="s">
        <v>167</v>
      </c>
    </row>
  </sheetData>
  <autoFilter ref="$A$2:$AV$20">
    <sortState ref="A2:AV20">
      <sortCondition descending="1" ref="AU2:AU20"/>
      <sortCondition descending="1" ref="AS2:AS20"/>
      <sortCondition descending="1" ref="AN2:AN20"/>
      <sortCondition descending="1" ref="AI2:AI20"/>
      <sortCondition descending="1" ref="AC2:AC20"/>
      <sortCondition descending="1" ref="X2:X20"/>
      <sortCondition descending="1" ref="T2:T20"/>
      <sortCondition descending="1" ref="N2:N20"/>
      <sortCondition descending="1" ref="G2:G20"/>
    </sortState>
  </autoFilter>
  <mergeCells count="13">
    <mergeCell ref="O2:S2"/>
    <mergeCell ref="U2:W2"/>
    <mergeCell ref="Y2:AB2"/>
    <mergeCell ref="AD2:AG2"/>
    <mergeCell ref="AJ2:AM2"/>
    <mergeCell ref="AO2:AR2"/>
    <mergeCell ref="A1:B1"/>
    <mergeCell ref="C1:T1"/>
    <mergeCell ref="U1:AI1"/>
    <mergeCell ref="AJ1:AS1"/>
    <mergeCell ref="AT1:AV1"/>
    <mergeCell ref="C2:F2"/>
    <mergeCell ref="H2:M2"/>
  </mergeCells>
  <conditionalFormatting sqref="AV3:AV20">
    <cfRule type="cellIs" dxfId="3" priority="1" operator="equal">
      <formula>"F"</formula>
    </cfRule>
  </conditionalFormatting>
  <conditionalFormatting sqref="AV3:AV20">
    <cfRule type="cellIs" dxfId="4" priority="2" operator="equal">
      <formula>"E"</formula>
    </cfRule>
  </conditionalFormatting>
  <conditionalFormatting sqref="AV3:AV20">
    <cfRule type="cellIs" dxfId="5" priority="3" operator="equal">
      <formula>"S"</formula>
    </cfRule>
  </conditionalFormatting>
  <conditionalFormatting sqref="AV3:AV20">
    <cfRule type="cellIs" dxfId="6" priority="4" operator="equal">
      <formula>"B"</formula>
    </cfRule>
  </conditionalFormatting>
  <conditionalFormatting sqref="AV3:AV20">
    <cfRule type="cellIs" dxfId="7" priority="5" operator="equal">
      <formula>"D"</formula>
    </cfRule>
  </conditionalFormatting>
  <conditionalFormatting sqref="AV3:AV20">
    <cfRule type="cellIs" dxfId="8" priority="6" operator="equal">
      <formula>"C"</formula>
    </cfRule>
  </conditionalFormatting>
  <conditionalFormatting sqref="AV3:AV20">
    <cfRule type="cellIs" dxfId="9" priority="7" operator="equal">
      <formula>"A"</formula>
    </cfRule>
  </conditionalFormatting>
  <conditionalFormatting sqref="AV3:AV20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3:T20 U3:W18 X3:AC20 AD3:AD7 AE3:AI20 AJ3:AJ9 AK3:AN20 AO3:AO9 AP3:AS20 AD9 AD11:AD20 AO11:AO20 AJ12:AJ20 U20">
    <cfRule type="colorScale" priority="9">
      <colorScale>
        <cfvo type="min"/>
        <cfvo type="formula" val="5"/>
        <cfvo type="max"/>
        <color rgb="FFE67C73"/>
        <color rgb="FFFFD666"/>
        <color rgb="FF57BB8A"/>
      </colorScale>
    </cfRule>
  </conditionalFormatting>
  <conditionalFormatting sqref="B3:B20">
    <cfRule type="cellIs" dxfId="31" priority="10" operator="equal">
      <formula>"H"</formula>
    </cfRule>
  </conditionalFormatting>
  <conditionalFormatting sqref="B3:B20">
    <cfRule type="cellIs" dxfId="6" priority="11" operator="equal">
      <formula>"W"</formula>
    </cfRule>
  </conditionalFormatting>
  <conditionalFormatting sqref="B3:B20">
    <cfRule type="cellIs" dxfId="7" priority="12" operator="equal">
      <formula>"T"</formula>
    </cfRule>
  </conditionalFormatting>
  <conditionalFormatting sqref="AU3:AU20">
    <cfRule type="colorScale" priority="1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63"/>
    <col customWidth="1" min="2" max="2" width="10.25"/>
    <col customWidth="1" min="3" max="3" width="10.38"/>
    <col customWidth="1" min="4" max="4" width="18.88"/>
    <col customWidth="1" min="5" max="5" width="2.88"/>
    <col customWidth="1" min="6" max="6" width="18.88"/>
    <col customWidth="1" min="7" max="7" width="2.88"/>
    <col customWidth="1" min="8" max="8" width="18.88"/>
    <col customWidth="1" min="9" max="9" width="2.88"/>
    <col customWidth="1" min="10" max="10" width="18.88"/>
    <col customWidth="1" min="11" max="11" width="2.88"/>
    <col customWidth="1" min="12" max="12" width="18.88"/>
    <col customWidth="1" min="13" max="13" width="2.88"/>
    <col customWidth="1" min="14" max="14" width="16.88"/>
    <col customWidth="1" min="15" max="15" width="3.38"/>
    <col customWidth="1" min="16" max="16" width="3.63"/>
  </cols>
  <sheetData>
    <row r="1">
      <c r="A1" s="264" t="s">
        <v>1979</v>
      </c>
      <c r="D1" s="190" t="s">
        <v>7221</v>
      </c>
      <c r="N1" s="192" t="s">
        <v>2061</v>
      </c>
    </row>
    <row r="2">
      <c r="A2" s="267" t="s">
        <v>1783</v>
      </c>
      <c r="B2" s="267" t="s">
        <v>7222</v>
      </c>
      <c r="C2" s="195" t="s">
        <v>7223</v>
      </c>
      <c r="D2" s="195" t="s">
        <v>7224</v>
      </c>
      <c r="E2" s="195" t="s">
        <v>1783</v>
      </c>
      <c r="F2" s="195" t="s">
        <v>7225</v>
      </c>
      <c r="G2" s="195" t="s">
        <v>1783</v>
      </c>
      <c r="H2" s="195" t="s">
        <v>7226</v>
      </c>
      <c r="I2" s="195" t="s">
        <v>1783</v>
      </c>
      <c r="J2" s="195" t="s">
        <v>7227</v>
      </c>
      <c r="K2" s="195" t="s">
        <v>1783</v>
      </c>
      <c r="L2" s="195" t="s">
        <v>7228</v>
      </c>
      <c r="M2" s="195" t="s">
        <v>1783</v>
      </c>
      <c r="N2" s="195" t="s">
        <v>4625</v>
      </c>
      <c r="O2" s="195" t="s">
        <v>56</v>
      </c>
      <c r="P2" s="195" t="s">
        <v>63</v>
      </c>
    </row>
    <row r="3" ht="35.25" customHeight="1">
      <c r="A3" s="14">
        <v>51.0</v>
      </c>
      <c r="B3" s="274" t="s">
        <v>7229</v>
      </c>
      <c r="C3" s="274" t="s">
        <v>7230</v>
      </c>
      <c r="D3" s="269" t="s">
        <v>7231</v>
      </c>
      <c r="E3" s="270">
        <v>3.0</v>
      </c>
      <c r="F3" s="270" t="s">
        <v>7232</v>
      </c>
      <c r="G3" s="270">
        <v>4.0</v>
      </c>
      <c r="H3" s="270" t="s">
        <v>7233</v>
      </c>
      <c r="I3" s="270">
        <v>4.0</v>
      </c>
      <c r="J3" s="270" t="s">
        <v>7234</v>
      </c>
      <c r="K3" s="270">
        <v>4.0</v>
      </c>
      <c r="L3" s="270" t="s">
        <v>7235</v>
      </c>
      <c r="M3" s="270">
        <v>4.0</v>
      </c>
      <c r="N3" s="270" t="s">
        <v>7236</v>
      </c>
      <c r="O3" s="269">
        <f t="shared" ref="O3:O56" si="1">SUM(E3,G3,I3,K3,M3)</f>
        <v>19</v>
      </c>
      <c r="P3" s="197" t="s">
        <v>71</v>
      </c>
    </row>
    <row r="4" ht="35.25" customHeight="1">
      <c r="A4" s="14">
        <v>25.0</v>
      </c>
      <c r="B4" s="274" t="s">
        <v>7237</v>
      </c>
      <c r="C4" s="274" t="s">
        <v>7238</v>
      </c>
      <c r="D4" s="270" t="s">
        <v>7239</v>
      </c>
      <c r="E4" s="270">
        <v>4.0</v>
      </c>
      <c r="F4" s="269" t="s">
        <v>7240</v>
      </c>
      <c r="G4" s="270">
        <v>4.0</v>
      </c>
      <c r="H4" s="270" t="s">
        <v>7241</v>
      </c>
      <c r="I4" s="270">
        <v>4.0</v>
      </c>
      <c r="J4" s="270" t="s">
        <v>7242</v>
      </c>
      <c r="K4" s="270">
        <v>3.0</v>
      </c>
      <c r="L4" s="270" t="s">
        <v>7243</v>
      </c>
      <c r="M4" s="270">
        <v>3.0</v>
      </c>
      <c r="N4" s="270" t="s">
        <v>7244</v>
      </c>
      <c r="O4" s="269">
        <f t="shared" si="1"/>
        <v>18</v>
      </c>
      <c r="P4" s="197" t="s">
        <v>71</v>
      </c>
    </row>
    <row r="5" ht="35.25" customHeight="1">
      <c r="A5" s="14">
        <v>39.0</v>
      </c>
      <c r="B5" s="274" t="s">
        <v>1890</v>
      </c>
      <c r="C5" s="274" t="s">
        <v>7245</v>
      </c>
      <c r="D5" s="270" t="s">
        <v>7246</v>
      </c>
      <c r="E5" s="270">
        <v>4.0</v>
      </c>
      <c r="F5" s="270" t="s">
        <v>7247</v>
      </c>
      <c r="G5" s="270">
        <v>3.0</v>
      </c>
      <c r="H5" s="270" t="s">
        <v>7248</v>
      </c>
      <c r="I5" s="270">
        <v>4.0</v>
      </c>
      <c r="J5" s="270" t="s">
        <v>7249</v>
      </c>
      <c r="K5" s="270">
        <v>3.0</v>
      </c>
      <c r="L5" s="270" t="s">
        <v>7250</v>
      </c>
      <c r="M5" s="270">
        <v>4.0</v>
      </c>
      <c r="N5" s="270" t="s">
        <v>7251</v>
      </c>
      <c r="O5" s="269">
        <f t="shared" si="1"/>
        <v>18</v>
      </c>
      <c r="P5" s="197" t="s">
        <v>71</v>
      </c>
    </row>
    <row r="6" ht="35.25" customHeight="1">
      <c r="A6" s="14">
        <v>42.0</v>
      </c>
      <c r="B6" s="274" t="s">
        <v>1916</v>
      </c>
      <c r="C6" s="274" t="s">
        <v>7252</v>
      </c>
      <c r="D6" s="270" t="s">
        <v>7253</v>
      </c>
      <c r="E6" s="270">
        <v>3.0</v>
      </c>
      <c r="F6" s="270" t="s">
        <v>7254</v>
      </c>
      <c r="G6" s="270">
        <v>4.0</v>
      </c>
      <c r="H6" s="270" t="s">
        <v>7255</v>
      </c>
      <c r="I6" s="270">
        <v>4.0</v>
      </c>
      <c r="J6" s="270" t="s">
        <v>7256</v>
      </c>
      <c r="K6" s="270">
        <v>4.0</v>
      </c>
      <c r="L6" s="270" t="s">
        <v>7257</v>
      </c>
      <c r="M6" s="270">
        <v>3.0</v>
      </c>
      <c r="N6" s="270" t="s">
        <v>7258</v>
      </c>
      <c r="O6" s="269">
        <f t="shared" si="1"/>
        <v>18</v>
      </c>
      <c r="P6" s="197" t="s">
        <v>71</v>
      </c>
    </row>
    <row r="7" ht="35.25" customHeight="1">
      <c r="A7" s="14">
        <v>45.0</v>
      </c>
      <c r="B7" s="274" t="s">
        <v>1916</v>
      </c>
      <c r="C7" s="274" t="s">
        <v>7259</v>
      </c>
      <c r="D7" s="270" t="s">
        <v>7260</v>
      </c>
      <c r="E7" s="270">
        <v>4.0</v>
      </c>
      <c r="F7" s="270" t="s">
        <v>7261</v>
      </c>
      <c r="G7" s="270">
        <v>4.0</v>
      </c>
      <c r="H7" s="270" t="s">
        <v>7262</v>
      </c>
      <c r="I7" s="270">
        <v>4.0</v>
      </c>
      <c r="J7" s="270" t="s">
        <v>7263</v>
      </c>
      <c r="K7" s="270">
        <v>3.0</v>
      </c>
      <c r="L7" s="270" t="s">
        <v>7264</v>
      </c>
      <c r="M7" s="270">
        <v>3.0</v>
      </c>
      <c r="N7" s="270" t="s">
        <v>7265</v>
      </c>
      <c r="O7" s="269">
        <f t="shared" si="1"/>
        <v>18</v>
      </c>
      <c r="P7" s="197" t="s">
        <v>71</v>
      </c>
    </row>
    <row r="8" ht="35.25" customHeight="1">
      <c r="A8" s="14">
        <v>2.0</v>
      </c>
      <c r="B8" s="274" t="s">
        <v>7266</v>
      </c>
      <c r="C8" s="274" t="s">
        <v>7267</v>
      </c>
      <c r="D8" s="270" t="s">
        <v>7268</v>
      </c>
      <c r="E8" s="270">
        <v>2.0</v>
      </c>
      <c r="F8" s="270" t="s">
        <v>7269</v>
      </c>
      <c r="G8" s="270">
        <v>4.0</v>
      </c>
      <c r="H8" s="270" t="s">
        <v>7270</v>
      </c>
      <c r="I8" s="270">
        <v>4.0</v>
      </c>
      <c r="J8" s="270" t="s">
        <v>7271</v>
      </c>
      <c r="K8" s="270">
        <v>4.0</v>
      </c>
      <c r="L8" s="270" t="s">
        <v>7272</v>
      </c>
      <c r="M8" s="270">
        <v>3.0</v>
      </c>
      <c r="N8" s="270" t="s">
        <v>7273</v>
      </c>
      <c r="O8" s="269">
        <f t="shared" si="1"/>
        <v>17</v>
      </c>
      <c r="P8" s="197" t="s">
        <v>92</v>
      </c>
    </row>
    <row r="9" ht="35.25" customHeight="1">
      <c r="A9" s="14">
        <v>9.0</v>
      </c>
      <c r="B9" s="274" t="s">
        <v>1958</v>
      </c>
      <c r="C9" s="274" t="s">
        <v>7274</v>
      </c>
      <c r="D9" s="270" t="s">
        <v>7275</v>
      </c>
      <c r="E9" s="270">
        <v>3.0</v>
      </c>
      <c r="F9" s="270" t="s">
        <v>7276</v>
      </c>
      <c r="G9" s="270">
        <v>4.0</v>
      </c>
      <c r="H9" s="270" t="s">
        <v>7277</v>
      </c>
      <c r="I9" s="270">
        <v>2.0</v>
      </c>
      <c r="J9" s="270" t="s">
        <v>7278</v>
      </c>
      <c r="K9" s="270">
        <v>4.0</v>
      </c>
      <c r="L9" s="270" t="s">
        <v>7279</v>
      </c>
      <c r="M9" s="270">
        <v>4.0</v>
      </c>
      <c r="N9" s="270" t="s">
        <v>7280</v>
      </c>
      <c r="O9" s="269">
        <f t="shared" si="1"/>
        <v>17</v>
      </c>
      <c r="P9" s="197" t="s">
        <v>92</v>
      </c>
    </row>
    <row r="10" ht="35.25" customHeight="1">
      <c r="A10" s="14">
        <v>31.0</v>
      </c>
      <c r="B10" s="274" t="s">
        <v>7281</v>
      </c>
      <c r="C10" s="274" t="s">
        <v>7282</v>
      </c>
      <c r="D10" s="270" t="s">
        <v>7283</v>
      </c>
      <c r="E10" s="270">
        <v>3.0</v>
      </c>
      <c r="F10" s="270" t="s">
        <v>7284</v>
      </c>
      <c r="G10" s="270">
        <v>4.0</v>
      </c>
      <c r="H10" s="270" t="s">
        <v>7285</v>
      </c>
      <c r="I10" s="270">
        <v>3.0</v>
      </c>
      <c r="J10" s="270" t="s">
        <v>7286</v>
      </c>
      <c r="K10" s="270">
        <v>3.0</v>
      </c>
      <c r="L10" s="270" t="s">
        <v>7287</v>
      </c>
      <c r="M10" s="270">
        <v>4.0</v>
      </c>
      <c r="N10" s="270" t="s">
        <v>7288</v>
      </c>
      <c r="O10" s="269">
        <f t="shared" si="1"/>
        <v>17</v>
      </c>
      <c r="P10" s="197" t="s">
        <v>92</v>
      </c>
    </row>
    <row r="11" ht="35.25" customHeight="1">
      <c r="A11" s="14">
        <v>34.0</v>
      </c>
      <c r="B11" s="274" t="s">
        <v>7289</v>
      </c>
      <c r="C11" s="274" t="s">
        <v>7290</v>
      </c>
      <c r="D11" s="270" t="s">
        <v>7291</v>
      </c>
      <c r="E11" s="270">
        <v>1.0</v>
      </c>
      <c r="F11" s="270" t="s">
        <v>7292</v>
      </c>
      <c r="G11" s="270">
        <v>4.0</v>
      </c>
      <c r="H11" s="270" t="s">
        <v>7293</v>
      </c>
      <c r="I11" s="270">
        <v>4.0</v>
      </c>
      <c r="J11" s="270" t="s">
        <v>7294</v>
      </c>
      <c r="K11" s="270">
        <v>4.0</v>
      </c>
      <c r="L11" s="270" t="s">
        <v>7295</v>
      </c>
      <c r="M11" s="270">
        <v>4.0</v>
      </c>
      <c r="N11" s="270" t="s">
        <v>7296</v>
      </c>
      <c r="O11" s="269">
        <f t="shared" si="1"/>
        <v>17</v>
      </c>
      <c r="P11" s="197" t="s">
        <v>92</v>
      </c>
    </row>
    <row r="12" ht="35.25" customHeight="1">
      <c r="A12" s="14">
        <v>43.0</v>
      </c>
      <c r="B12" s="274" t="s">
        <v>1916</v>
      </c>
      <c r="C12" s="274" t="s">
        <v>7297</v>
      </c>
      <c r="D12" s="270" t="s">
        <v>7298</v>
      </c>
      <c r="E12" s="270">
        <v>2.0</v>
      </c>
      <c r="F12" s="270" t="s">
        <v>7299</v>
      </c>
      <c r="G12" s="270">
        <v>4.0</v>
      </c>
      <c r="H12" s="270" t="s">
        <v>7300</v>
      </c>
      <c r="I12" s="270">
        <v>3.0</v>
      </c>
      <c r="J12" s="270" t="s">
        <v>7301</v>
      </c>
      <c r="K12" s="270">
        <v>4.0</v>
      </c>
      <c r="L12" s="270" t="s">
        <v>7302</v>
      </c>
      <c r="M12" s="270">
        <v>4.0</v>
      </c>
      <c r="N12" s="270" t="s">
        <v>7303</v>
      </c>
      <c r="O12" s="269">
        <f t="shared" si="1"/>
        <v>17</v>
      </c>
      <c r="P12" s="197" t="s">
        <v>92</v>
      </c>
    </row>
    <row r="13" ht="35.25" customHeight="1">
      <c r="A13" s="14">
        <v>33.0</v>
      </c>
      <c r="B13" s="274" t="s">
        <v>7289</v>
      </c>
      <c r="C13" s="274" t="s">
        <v>7304</v>
      </c>
      <c r="D13" s="270" t="s">
        <v>7305</v>
      </c>
      <c r="E13" s="270">
        <v>2.0</v>
      </c>
      <c r="F13" s="270" t="s">
        <v>7306</v>
      </c>
      <c r="G13" s="270">
        <v>4.0</v>
      </c>
      <c r="H13" s="270" t="s">
        <v>7307</v>
      </c>
      <c r="I13" s="270">
        <v>3.0</v>
      </c>
      <c r="J13" s="270" t="s">
        <v>7308</v>
      </c>
      <c r="K13" s="270">
        <v>3.0</v>
      </c>
      <c r="L13" s="270" t="s">
        <v>7309</v>
      </c>
      <c r="M13" s="270">
        <v>4.0</v>
      </c>
      <c r="N13" s="270" t="s">
        <v>7310</v>
      </c>
      <c r="O13" s="269">
        <f t="shared" si="1"/>
        <v>16</v>
      </c>
      <c r="P13" s="197" t="s">
        <v>92</v>
      </c>
    </row>
    <row r="14" ht="35.25" customHeight="1">
      <c r="A14" s="14">
        <v>27.0</v>
      </c>
      <c r="B14" s="274" t="s">
        <v>7281</v>
      </c>
      <c r="C14" s="274" t="s">
        <v>7311</v>
      </c>
      <c r="D14" s="270" t="s">
        <v>7312</v>
      </c>
      <c r="E14" s="270">
        <v>3.0</v>
      </c>
      <c r="F14" s="270" t="s">
        <v>7313</v>
      </c>
      <c r="G14" s="270">
        <v>4.0</v>
      </c>
      <c r="H14" s="270" t="s">
        <v>7314</v>
      </c>
      <c r="I14" s="270">
        <v>3.0</v>
      </c>
      <c r="J14" s="270" t="s">
        <v>7315</v>
      </c>
      <c r="K14" s="270">
        <v>3.0</v>
      </c>
      <c r="L14" s="270" t="s">
        <v>7316</v>
      </c>
      <c r="M14" s="270">
        <v>2.0</v>
      </c>
      <c r="N14" s="270" t="s">
        <v>7317</v>
      </c>
      <c r="O14" s="269">
        <f t="shared" si="1"/>
        <v>15</v>
      </c>
      <c r="P14" s="197" t="s">
        <v>120</v>
      </c>
    </row>
    <row r="15" ht="35.25" customHeight="1">
      <c r="A15" s="14">
        <v>28.0</v>
      </c>
      <c r="B15" s="274" t="s">
        <v>7281</v>
      </c>
      <c r="C15" s="274" t="s">
        <v>7318</v>
      </c>
      <c r="D15" s="270" t="s">
        <v>7319</v>
      </c>
      <c r="E15" s="270">
        <v>3.0</v>
      </c>
      <c r="F15" s="270" t="s">
        <v>7320</v>
      </c>
      <c r="G15" s="270">
        <v>3.0</v>
      </c>
      <c r="H15" s="270" t="s">
        <v>7321</v>
      </c>
      <c r="I15" s="270">
        <v>3.0</v>
      </c>
      <c r="J15" s="270" t="s">
        <v>7322</v>
      </c>
      <c r="K15" s="270">
        <v>2.0</v>
      </c>
      <c r="L15" s="270" t="s">
        <v>7323</v>
      </c>
      <c r="M15" s="270">
        <v>4.0</v>
      </c>
      <c r="N15" s="270" t="s">
        <v>7324</v>
      </c>
      <c r="O15" s="269">
        <f t="shared" si="1"/>
        <v>15</v>
      </c>
      <c r="P15" s="197" t="s">
        <v>120</v>
      </c>
    </row>
    <row r="16" ht="35.25" customHeight="1">
      <c r="A16" s="14">
        <v>52.0</v>
      </c>
      <c r="B16" s="274" t="s">
        <v>7229</v>
      </c>
      <c r="C16" s="274" t="s">
        <v>7325</v>
      </c>
      <c r="D16" s="270" t="s">
        <v>7326</v>
      </c>
      <c r="E16" s="270">
        <v>1.0</v>
      </c>
      <c r="F16" s="270" t="s">
        <v>7327</v>
      </c>
      <c r="G16" s="270">
        <v>4.0</v>
      </c>
      <c r="H16" s="270" t="s">
        <v>7328</v>
      </c>
      <c r="I16" s="270">
        <v>4.0</v>
      </c>
      <c r="J16" s="270" t="s">
        <v>7329</v>
      </c>
      <c r="K16" s="270">
        <v>2.0</v>
      </c>
      <c r="L16" s="270" t="s">
        <v>7330</v>
      </c>
      <c r="M16" s="270">
        <v>4.0</v>
      </c>
      <c r="N16" s="270" t="s">
        <v>7331</v>
      </c>
      <c r="O16" s="269">
        <f t="shared" si="1"/>
        <v>15</v>
      </c>
      <c r="P16" s="197" t="s">
        <v>120</v>
      </c>
    </row>
    <row r="17" ht="35.25" customHeight="1">
      <c r="A17" s="14">
        <v>54.0</v>
      </c>
      <c r="B17" s="274" t="s">
        <v>7229</v>
      </c>
      <c r="C17" s="274" t="s">
        <v>7332</v>
      </c>
      <c r="D17" s="270" t="s">
        <v>7333</v>
      </c>
      <c r="E17" s="270">
        <v>3.0</v>
      </c>
      <c r="F17" s="270" t="s">
        <v>7334</v>
      </c>
      <c r="G17" s="270">
        <v>3.0</v>
      </c>
      <c r="H17" s="270" t="s">
        <v>7335</v>
      </c>
      <c r="I17" s="270">
        <v>3.0</v>
      </c>
      <c r="J17" s="270" t="s">
        <v>7336</v>
      </c>
      <c r="K17" s="270">
        <v>3.0</v>
      </c>
      <c r="L17" s="270" t="s">
        <v>7337</v>
      </c>
      <c r="M17" s="270">
        <v>3.0</v>
      </c>
      <c r="N17" s="270" t="s">
        <v>7338</v>
      </c>
      <c r="O17" s="269">
        <f t="shared" si="1"/>
        <v>15</v>
      </c>
      <c r="P17" s="197" t="s">
        <v>120</v>
      </c>
    </row>
    <row r="18" ht="35.25" customHeight="1">
      <c r="A18" s="14">
        <v>11.0</v>
      </c>
      <c r="B18" s="274" t="s">
        <v>7339</v>
      </c>
      <c r="C18" s="274" t="s">
        <v>7340</v>
      </c>
      <c r="D18" s="270" t="s">
        <v>7341</v>
      </c>
      <c r="E18" s="270">
        <v>4.0</v>
      </c>
      <c r="F18" s="270" t="s">
        <v>7342</v>
      </c>
      <c r="G18" s="270">
        <v>4.0</v>
      </c>
      <c r="H18" s="270" t="s">
        <v>7343</v>
      </c>
      <c r="I18" s="270">
        <v>4.0</v>
      </c>
      <c r="J18" s="270" t="s">
        <v>7344</v>
      </c>
      <c r="K18" s="270">
        <v>1.0</v>
      </c>
      <c r="L18" s="270" t="s">
        <v>7345</v>
      </c>
      <c r="M18" s="270">
        <v>1.0</v>
      </c>
      <c r="N18" s="270" t="s">
        <v>7346</v>
      </c>
      <c r="O18" s="269">
        <f t="shared" si="1"/>
        <v>14</v>
      </c>
      <c r="P18" s="197" t="s">
        <v>120</v>
      </c>
    </row>
    <row r="19" ht="35.25" customHeight="1">
      <c r="A19" s="14">
        <v>23.0</v>
      </c>
      <c r="B19" s="274" t="s">
        <v>7237</v>
      </c>
      <c r="C19" s="274" t="s">
        <v>7347</v>
      </c>
      <c r="D19" s="270" t="s">
        <v>7348</v>
      </c>
      <c r="E19" s="270">
        <v>2.0</v>
      </c>
      <c r="F19" s="270" t="s">
        <v>7349</v>
      </c>
      <c r="G19" s="270">
        <v>3.0</v>
      </c>
      <c r="H19" s="270" t="s">
        <v>7350</v>
      </c>
      <c r="I19" s="270">
        <v>3.0</v>
      </c>
      <c r="J19" s="270" t="s">
        <v>7351</v>
      </c>
      <c r="K19" s="270">
        <v>3.0</v>
      </c>
      <c r="L19" s="270" t="s">
        <v>7352</v>
      </c>
      <c r="M19" s="270">
        <v>3.0</v>
      </c>
      <c r="N19" s="270" t="s">
        <v>7353</v>
      </c>
      <c r="O19" s="269">
        <f t="shared" si="1"/>
        <v>14</v>
      </c>
      <c r="P19" s="197" t="s">
        <v>120</v>
      </c>
    </row>
    <row r="20" ht="35.25" customHeight="1">
      <c r="A20" s="14">
        <v>50.0</v>
      </c>
      <c r="B20" s="274" t="s">
        <v>7354</v>
      </c>
      <c r="C20" s="274" t="s">
        <v>7332</v>
      </c>
      <c r="D20" s="270" t="s">
        <v>7355</v>
      </c>
      <c r="E20" s="270">
        <v>2.0</v>
      </c>
      <c r="F20" s="270" t="s">
        <v>7356</v>
      </c>
      <c r="G20" s="270">
        <v>3.0</v>
      </c>
      <c r="H20" s="270" t="s">
        <v>7357</v>
      </c>
      <c r="I20" s="270">
        <v>2.0</v>
      </c>
      <c r="J20" s="270" t="s">
        <v>7358</v>
      </c>
      <c r="K20" s="270">
        <v>3.0</v>
      </c>
      <c r="L20" s="270" t="s">
        <v>7359</v>
      </c>
      <c r="M20" s="270">
        <v>4.0</v>
      </c>
      <c r="N20" s="270" t="s">
        <v>7360</v>
      </c>
      <c r="O20" s="269">
        <f t="shared" si="1"/>
        <v>14</v>
      </c>
      <c r="P20" s="197" t="s">
        <v>120</v>
      </c>
    </row>
    <row r="21" ht="35.25" customHeight="1">
      <c r="A21" s="14">
        <v>7.0</v>
      </c>
      <c r="B21" s="274" t="s">
        <v>1958</v>
      </c>
      <c r="C21" s="274" t="s">
        <v>7361</v>
      </c>
      <c r="D21" s="270" t="s">
        <v>7362</v>
      </c>
      <c r="E21" s="270">
        <v>3.0</v>
      </c>
      <c r="F21" s="270" t="s">
        <v>7363</v>
      </c>
      <c r="G21" s="270">
        <v>2.0</v>
      </c>
      <c r="H21" s="270" t="s">
        <v>7364</v>
      </c>
      <c r="I21" s="270">
        <v>2.0</v>
      </c>
      <c r="J21" s="270" t="s">
        <v>7365</v>
      </c>
      <c r="K21" s="270">
        <v>3.0</v>
      </c>
      <c r="L21" s="270" t="s">
        <v>7366</v>
      </c>
      <c r="M21" s="270">
        <v>3.0</v>
      </c>
      <c r="N21" s="270" t="s">
        <v>7367</v>
      </c>
      <c r="O21" s="269">
        <f t="shared" si="1"/>
        <v>13</v>
      </c>
      <c r="P21" s="197" t="s">
        <v>120</v>
      </c>
    </row>
    <row r="22" ht="35.25" customHeight="1">
      <c r="A22" s="14">
        <v>38.0</v>
      </c>
      <c r="B22" s="274" t="s">
        <v>1890</v>
      </c>
      <c r="C22" s="274" t="s">
        <v>7368</v>
      </c>
      <c r="D22" s="270" t="s">
        <v>7369</v>
      </c>
      <c r="E22" s="270">
        <v>3.0</v>
      </c>
      <c r="F22" s="270" t="s">
        <v>7370</v>
      </c>
      <c r="G22" s="270">
        <v>3.0</v>
      </c>
      <c r="H22" s="270" t="s">
        <v>7371</v>
      </c>
      <c r="I22" s="270">
        <v>3.0</v>
      </c>
      <c r="J22" s="270" t="s">
        <v>7372</v>
      </c>
      <c r="K22" s="270">
        <v>2.0</v>
      </c>
      <c r="L22" s="270" t="s">
        <v>7373</v>
      </c>
      <c r="M22" s="270">
        <v>2.0</v>
      </c>
      <c r="N22" s="270" t="s">
        <v>7374</v>
      </c>
      <c r="O22" s="269">
        <f t="shared" si="1"/>
        <v>13</v>
      </c>
      <c r="P22" s="197" t="s">
        <v>120</v>
      </c>
    </row>
    <row r="23" ht="35.25" customHeight="1">
      <c r="A23" s="14">
        <v>44.0</v>
      </c>
      <c r="B23" s="274" t="s">
        <v>1916</v>
      </c>
      <c r="C23" s="274" t="s">
        <v>7375</v>
      </c>
      <c r="D23" s="270" t="s">
        <v>7376</v>
      </c>
      <c r="E23" s="270">
        <v>2.0</v>
      </c>
      <c r="F23" s="270" t="s">
        <v>7377</v>
      </c>
      <c r="G23" s="270">
        <v>4.0</v>
      </c>
      <c r="H23" s="270" t="s">
        <v>7378</v>
      </c>
      <c r="I23" s="270">
        <v>2.0</v>
      </c>
      <c r="J23" s="270" t="s">
        <v>7379</v>
      </c>
      <c r="K23" s="270">
        <v>3.0</v>
      </c>
      <c r="L23" s="270" t="s">
        <v>7380</v>
      </c>
      <c r="M23" s="270">
        <v>2.0</v>
      </c>
      <c r="N23" s="270" t="s">
        <v>7381</v>
      </c>
      <c r="O23" s="269">
        <f t="shared" si="1"/>
        <v>13</v>
      </c>
      <c r="P23" s="197" t="s">
        <v>120</v>
      </c>
    </row>
    <row r="24" ht="35.25" customHeight="1">
      <c r="A24" s="14">
        <v>35.0</v>
      </c>
      <c r="B24" s="274" t="s">
        <v>7289</v>
      </c>
      <c r="C24" s="274" t="s">
        <v>7382</v>
      </c>
      <c r="D24" s="269" t="s">
        <v>7383</v>
      </c>
      <c r="E24" s="270">
        <v>1.0</v>
      </c>
      <c r="F24" s="270" t="s">
        <v>7384</v>
      </c>
      <c r="G24" s="270">
        <v>3.0</v>
      </c>
      <c r="H24" s="270" t="s">
        <v>7385</v>
      </c>
      <c r="I24" s="270">
        <v>2.0</v>
      </c>
      <c r="J24" s="270" t="s">
        <v>7386</v>
      </c>
      <c r="K24" s="270">
        <v>3.0</v>
      </c>
      <c r="L24" s="270" t="s">
        <v>7387</v>
      </c>
      <c r="M24" s="270">
        <v>3.0</v>
      </c>
      <c r="N24" s="270" t="s">
        <v>7388</v>
      </c>
      <c r="O24" s="269">
        <f t="shared" si="1"/>
        <v>12</v>
      </c>
      <c r="P24" s="197" t="s">
        <v>136</v>
      </c>
    </row>
    <row r="25" ht="35.25" customHeight="1">
      <c r="A25" s="14">
        <v>36.0</v>
      </c>
      <c r="B25" s="274" t="s">
        <v>7289</v>
      </c>
      <c r="C25" s="274" t="s">
        <v>7389</v>
      </c>
      <c r="D25" s="270" t="s">
        <v>7390</v>
      </c>
      <c r="E25" s="270">
        <v>1.0</v>
      </c>
      <c r="F25" s="270" t="s">
        <v>7391</v>
      </c>
      <c r="G25" s="270">
        <v>4.0</v>
      </c>
      <c r="H25" s="270" t="s">
        <v>7392</v>
      </c>
      <c r="I25" s="270">
        <v>1.0</v>
      </c>
      <c r="J25" s="270" t="s">
        <v>7393</v>
      </c>
      <c r="K25" s="270">
        <v>2.0</v>
      </c>
      <c r="L25" s="270" t="s">
        <v>7394</v>
      </c>
      <c r="M25" s="270">
        <v>4.0</v>
      </c>
      <c r="N25" s="270" t="s">
        <v>7395</v>
      </c>
      <c r="O25" s="269">
        <f t="shared" si="1"/>
        <v>12</v>
      </c>
      <c r="P25" s="197" t="s">
        <v>136</v>
      </c>
    </row>
    <row r="26" ht="35.25" customHeight="1">
      <c r="A26" s="14">
        <v>53.0</v>
      </c>
      <c r="B26" s="274" t="s">
        <v>7229</v>
      </c>
      <c r="C26" s="274" t="s">
        <v>7396</v>
      </c>
      <c r="D26" s="270" t="s">
        <v>7397</v>
      </c>
      <c r="E26" s="270">
        <v>1.0</v>
      </c>
      <c r="F26" s="270" t="s">
        <v>7398</v>
      </c>
      <c r="G26" s="270">
        <v>3.0</v>
      </c>
      <c r="H26" s="270" t="s">
        <v>7399</v>
      </c>
      <c r="I26" s="270">
        <v>1.0</v>
      </c>
      <c r="J26" s="270" t="s">
        <v>7400</v>
      </c>
      <c r="K26" s="270">
        <v>3.0</v>
      </c>
      <c r="L26" s="270" t="s">
        <v>7401</v>
      </c>
      <c r="M26" s="270">
        <v>4.0</v>
      </c>
      <c r="N26" s="270" t="s">
        <v>7402</v>
      </c>
      <c r="O26" s="269">
        <f t="shared" si="1"/>
        <v>12</v>
      </c>
      <c r="P26" s="197" t="s">
        <v>136</v>
      </c>
    </row>
    <row r="27" ht="35.25" customHeight="1">
      <c r="A27" s="14">
        <v>4.0</v>
      </c>
      <c r="B27" s="274" t="s">
        <v>7266</v>
      </c>
      <c r="C27" s="274" t="s">
        <v>7403</v>
      </c>
      <c r="D27" s="270" t="s">
        <v>7404</v>
      </c>
      <c r="E27" s="270">
        <v>2.0</v>
      </c>
      <c r="F27" s="270" t="s">
        <v>7405</v>
      </c>
      <c r="G27" s="270">
        <v>2.0</v>
      </c>
      <c r="H27" s="270" t="s">
        <v>7406</v>
      </c>
      <c r="I27" s="270">
        <v>2.0</v>
      </c>
      <c r="J27" s="270" t="s">
        <v>7407</v>
      </c>
      <c r="K27" s="270">
        <v>2.0</v>
      </c>
      <c r="L27" s="270" t="s">
        <v>7408</v>
      </c>
      <c r="M27" s="270">
        <v>3.0</v>
      </c>
      <c r="N27" s="270" t="s">
        <v>7409</v>
      </c>
      <c r="O27" s="269">
        <f t="shared" si="1"/>
        <v>11</v>
      </c>
      <c r="P27" s="197" t="s">
        <v>136</v>
      </c>
    </row>
    <row r="28" ht="35.25" customHeight="1">
      <c r="A28" s="14">
        <v>6.0</v>
      </c>
      <c r="B28" s="274" t="s">
        <v>7266</v>
      </c>
      <c r="C28" s="274" t="s">
        <v>7410</v>
      </c>
      <c r="D28" s="270" t="s">
        <v>7411</v>
      </c>
      <c r="E28" s="270">
        <v>4.0</v>
      </c>
      <c r="F28" s="270" t="s">
        <v>7412</v>
      </c>
      <c r="G28" s="270">
        <v>3.0</v>
      </c>
      <c r="H28" s="270" t="s">
        <v>7413</v>
      </c>
      <c r="I28" s="270">
        <v>2.0</v>
      </c>
      <c r="J28" s="270" t="s">
        <v>7414</v>
      </c>
      <c r="K28" s="270">
        <v>1.0</v>
      </c>
      <c r="L28" s="270" t="s">
        <v>7415</v>
      </c>
      <c r="M28" s="270">
        <v>1.0</v>
      </c>
      <c r="N28" s="270" t="s">
        <v>7416</v>
      </c>
      <c r="O28" s="269">
        <f t="shared" si="1"/>
        <v>11</v>
      </c>
      <c r="P28" s="197" t="s">
        <v>136</v>
      </c>
    </row>
    <row r="29" ht="35.25" customHeight="1">
      <c r="A29" s="14">
        <v>8.0</v>
      </c>
      <c r="B29" s="274" t="s">
        <v>1958</v>
      </c>
      <c r="C29" s="274" t="s">
        <v>7417</v>
      </c>
      <c r="D29" s="270" t="s">
        <v>7418</v>
      </c>
      <c r="E29" s="270">
        <v>2.0</v>
      </c>
      <c r="F29" s="270" t="s">
        <v>7419</v>
      </c>
      <c r="G29" s="270">
        <v>2.0</v>
      </c>
      <c r="H29" s="270" t="s">
        <v>7420</v>
      </c>
      <c r="I29" s="270">
        <v>3.0</v>
      </c>
      <c r="J29" s="270" t="s">
        <v>7421</v>
      </c>
      <c r="K29" s="270">
        <v>1.0</v>
      </c>
      <c r="L29" s="270" t="s">
        <v>7422</v>
      </c>
      <c r="M29" s="270">
        <v>3.0</v>
      </c>
      <c r="N29" s="270" t="s">
        <v>7423</v>
      </c>
      <c r="O29" s="269">
        <f t="shared" si="1"/>
        <v>11</v>
      </c>
      <c r="P29" s="197" t="s">
        <v>136</v>
      </c>
    </row>
    <row r="30" ht="35.25" customHeight="1">
      <c r="A30" s="14">
        <v>12.0</v>
      </c>
      <c r="B30" s="274" t="s">
        <v>7339</v>
      </c>
      <c r="C30" s="274" t="s">
        <v>7424</v>
      </c>
      <c r="D30" s="270" t="s">
        <v>7425</v>
      </c>
      <c r="E30" s="270">
        <v>2.0</v>
      </c>
      <c r="F30" s="270" t="s">
        <v>7426</v>
      </c>
      <c r="G30" s="270">
        <v>4.0</v>
      </c>
      <c r="H30" s="270" t="s">
        <v>7427</v>
      </c>
      <c r="I30" s="270">
        <v>1.0</v>
      </c>
      <c r="J30" s="270" t="s">
        <v>7428</v>
      </c>
      <c r="K30" s="270">
        <v>2.0</v>
      </c>
      <c r="L30" s="270" t="s">
        <v>7429</v>
      </c>
      <c r="M30" s="270">
        <v>2.0</v>
      </c>
      <c r="N30" s="270" t="s">
        <v>7430</v>
      </c>
      <c r="O30" s="269">
        <f t="shared" si="1"/>
        <v>11</v>
      </c>
      <c r="P30" s="197" t="s">
        <v>136</v>
      </c>
    </row>
    <row r="31" ht="35.25" customHeight="1">
      <c r="A31" s="14">
        <v>24.0</v>
      </c>
      <c r="B31" s="274" t="s">
        <v>7237</v>
      </c>
      <c r="C31" s="274" t="s">
        <v>1370</v>
      </c>
      <c r="D31" s="270" t="s">
        <v>7431</v>
      </c>
      <c r="E31" s="270">
        <v>1.0</v>
      </c>
      <c r="F31" s="270" t="s">
        <v>7432</v>
      </c>
      <c r="G31" s="270">
        <v>3.0</v>
      </c>
      <c r="H31" s="270" t="s">
        <v>7433</v>
      </c>
      <c r="I31" s="270">
        <v>1.0</v>
      </c>
      <c r="J31" s="270" t="s">
        <v>7434</v>
      </c>
      <c r="K31" s="270">
        <v>2.0</v>
      </c>
      <c r="L31" s="270" t="s">
        <v>7435</v>
      </c>
      <c r="M31" s="270">
        <v>4.0</v>
      </c>
      <c r="N31" s="270" t="s">
        <v>7436</v>
      </c>
      <c r="O31" s="269">
        <f t="shared" si="1"/>
        <v>11</v>
      </c>
      <c r="P31" s="197" t="s">
        <v>136</v>
      </c>
    </row>
    <row r="32" ht="35.25" customHeight="1">
      <c r="A32" s="14">
        <v>26.0</v>
      </c>
      <c r="B32" s="274" t="s">
        <v>7237</v>
      </c>
      <c r="C32" s="274" t="s">
        <v>7437</v>
      </c>
      <c r="D32" s="270" t="s">
        <v>7438</v>
      </c>
      <c r="E32" s="270">
        <v>2.0</v>
      </c>
      <c r="F32" s="270" t="s">
        <v>7439</v>
      </c>
      <c r="G32" s="270">
        <v>2.0</v>
      </c>
      <c r="H32" s="270" t="s">
        <v>7440</v>
      </c>
      <c r="I32" s="270">
        <v>1.0</v>
      </c>
      <c r="J32" s="270" t="s">
        <v>7441</v>
      </c>
      <c r="K32" s="270">
        <v>2.0</v>
      </c>
      <c r="L32" s="270" t="s">
        <v>7442</v>
      </c>
      <c r="M32" s="270">
        <v>4.0</v>
      </c>
      <c r="N32" s="270" t="s">
        <v>7443</v>
      </c>
      <c r="O32" s="269">
        <f t="shared" si="1"/>
        <v>11</v>
      </c>
      <c r="P32" s="197" t="s">
        <v>136</v>
      </c>
    </row>
    <row r="33" ht="35.25" customHeight="1">
      <c r="A33" s="14">
        <v>40.0</v>
      </c>
      <c r="B33" s="274" t="s">
        <v>1890</v>
      </c>
      <c r="C33" s="274" t="s">
        <v>7444</v>
      </c>
      <c r="D33" s="270" t="s">
        <v>7445</v>
      </c>
      <c r="E33" s="270">
        <v>3.0</v>
      </c>
      <c r="F33" s="270" t="s">
        <v>7446</v>
      </c>
      <c r="G33" s="270">
        <v>2.0</v>
      </c>
      <c r="H33" s="270" t="s">
        <v>7447</v>
      </c>
      <c r="I33" s="270">
        <v>2.0</v>
      </c>
      <c r="J33" s="270" t="s">
        <v>7448</v>
      </c>
      <c r="K33" s="270">
        <v>2.0</v>
      </c>
      <c r="L33" s="270" t="s">
        <v>7449</v>
      </c>
      <c r="M33" s="270">
        <v>2.0</v>
      </c>
      <c r="N33" s="270" t="s">
        <v>7450</v>
      </c>
      <c r="O33" s="269">
        <f t="shared" si="1"/>
        <v>11</v>
      </c>
      <c r="P33" s="197" t="s">
        <v>136</v>
      </c>
    </row>
    <row r="34" ht="35.25" customHeight="1">
      <c r="A34" s="14">
        <v>47.0</v>
      </c>
      <c r="B34" s="274" t="s">
        <v>7354</v>
      </c>
      <c r="C34" s="274" t="s">
        <v>7230</v>
      </c>
      <c r="D34" s="270" t="s">
        <v>7451</v>
      </c>
      <c r="E34" s="270">
        <v>1.0</v>
      </c>
      <c r="F34" s="270" t="s">
        <v>7452</v>
      </c>
      <c r="G34" s="270">
        <v>3.0</v>
      </c>
      <c r="H34" s="270" t="s">
        <v>7453</v>
      </c>
      <c r="I34" s="270">
        <v>1.0</v>
      </c>
      <c r="J34" s="270" t="s">
        <v>7454</v>
      </c>
      <c r="K34" s="270">
        <v>2.0</v>
      </c>
      <c r="L34" s="270" t="s">
        <v>7455</v>
      </c>
      <c r="M34" s="270">
        <v>4.0</v>
      </c>
      <c r="N34" s="270" t="s">
        <v>7456</v>
      </c>
      <c r="O34" s="269">
        <f t="shared" si="1"/>
        <v>11</v>
      </c>
      <c r="P34" s="197" t="s">
        <v>136</v>
      </c>
    </row>
    <row r="35" ht="35.25" customHeight="1">
      <c r="A35" s="14">
        <v>49.0</v>
      </c>
      <c r="B35" s="274" t="s">
        <v>7354</v>
      </c>
      <c r="C35" s="274" t="s">
        <v>7396</v>
      </c>
      <c r="D35" s="270" t="s">
        <v>7457</v>
      </c>
      <c r="E35" s="270">
        <v>0.0</v>
      </c>
      <c r="F35" s="270" t="s">
        <v>7458</v>
      </c>
      <c r="G35" s="270">
        <v>4.0</v>
      </c>
      <c r="H35" s="270" t="s">
        <v>7459</v>
      </c>
      <c r="I35" s="270">
        <v>1.0</v>
      </c>
      <c r="J35" s="270" t="s">
        <v>7460</v>
      </c>
      <c r="K35" s="270">
        <v>2.0</v>
      </c>
      <c r="L35" s="270" t="s">
        <v>7455</v>
      </c>
      <c r="M35" s="270">
        <v>4.0</v>
      </c>
      <c r="N35" s="270" t="s">
        <v>7461</v>
      </c>
      <c r="O35" s="269">
        <f t="shared" si="1"/>
        <v>11</v>
      </c>
      <c r="P35" s="197" t="s">
        <v>136</v>
      </c>
    </row>
    <row r="36" ht="35.25" customHeight="1">
      <c r="A36" s="14">
        <v>1.0</v>
      </c>
      <c r="B36" s="274" t="s">
        <v>7266</v>
      </c>
      <c r="C36" s="274" t="s">
        <v>7462</v>
      </c>
      <c r="D36" s="270" t="s">
        <v>7463</v>
      </c>
      <c r="E36" s="270">
        <v>1.0</v>
      </c>
      <c r="F36" s="270" t="s">
        <v>7464</v>
      </c>
      <c r="G36" s="270">
        <v>4.0</v>
      </c>
      <c r="H36" s="270" t="s">
        <v>7465</v>
      </c>
      <c r="I36" s="270">
        <v>0.0</v>
      </c>
      <c r="J36" s="270" t="s">
        <v>7466</v>
      </c>
      <c r="K36" s="270">
        <v>1.0</v>
      </c>
      <c r="L36" s="270" t="s">
        <v>7467</v>
      </c>
      <c r="M36" s="270">
        <v>4.0</v>
      </c>
      <c r="N36" s="269" t="s">
        <v>7468</v>
      </c>
      <c r="O36" s="269">
        <f t="shared" si="1"/>
        <v>10</v>
      </c>
      <c r="P36" s="197" t="s">
        <v>167</v>
      </c>
    </row>
    <row r="37" ht="35.25" customHeight="1">
      <c r="A37" s="14">
        <v>10.0</v>
      </c>
      <c r="B37" s="274" t="s">
        <v>1958</v>
      </c>
      <c r="C37" s="274" t="s">
        <v>7469</v>
      </c>
      <c r="D37" s="270" t="s">
        <v>7470</v>
      </c>
      <c r="E37" s="270">
        <v>3.0</v>
      </c>
      <c r="F37" s="270" t="s">
        <v>7471</v>
      </c>
      <c r="G37" s="270">
        <v>1.0</v>
      </c>
      <c r="H37" s="270" t="s">
        <v>7472</v>
      </c>
      <c r="I37" s="270">
        <v>1.0</v>
      </c>
      <c r="J37" s="270" t="s">
        <v>7473</v>
      </c>
      <c r="K37" s="270">
        <v>1.0</v>
      </c>
      <c r="L37" s="270" t="s">
        <v>7474</v>
      </c>
      <c r="M37" s="270">
        <v>4.0</v>
      </c>
      <c r="N37" s="270" t="s">
        <v>7475</v>
      </c>
      <c r="O37" s="269">
        <f t="shared" si="1"/>
        <v>10</v>
      </c>
      <c r="P37" s="197" t="s">
        <v>167</v>
      </c>
    </row>
    <row r="38" ht="35.25" customHeight="1">
      <c r="A38" s="14">
        <v>48.0</v>
      </c>
      <c r="B38" s="274" t="s">
        <v>7354</v>
      </c>
      <c r="C38" s="274" t="s">
        <v>7325</v>
      </c>
      <c r="D38" s="270" t="s">
        <v>7476</v>
      </c>
      <c r="E38" s="270">
        <v>0.0</v>
      </c>
      <c r="F38" s="270" t="s">
        <v>7327</v>
      </c>
      <c r="G38" s="270">
        <v>4.0</v>
      </c>
      <c r="H38" s="270" t="s">
        <v>7477</v>
      </c>
      <c r="I38" s="270">
        <v>1.0</v>
      </c>
      <c r="J38" s="270" t="s">
        <v>7478</v>
      </c>
      <c r="K38" s="270">
        <v>1.0</v>
      </c>
      <c r="L38" s="270" t="s">
        <v>7455</v>
      </c>
      <c r="M38" s="270">
        <v>4.0</v>
      </c>
      <c r="N38" s="270" t="s">
        <v>7479</v>
      </c>
      <c r="O38" s="269">
        <f t="shared" si="1"/>
        <v>10</v>
      </c>
      <c r="P38" s="197" t="s">
        <v>167</v>
      </c>
    </row>
    <row r="39" ht="35.25" customHeight="1">
      <c r="A39" s="14">
        <v>5.0</v>
      </c>
      <c r="B39" s="274" t="s">
        <v>7266</v>
      </c>
      <c r="C39" s="274" t="s">
        <v>7480</v>
      </c>
      <c r="D39" s="270" t="s">
        <v>7481</v>
      </c>
      <c r="E39" s="270">
        <v>2.0</v>
      </c>
      <c r="F39" s="270" t="s">
        <v>7482</v>
      </c>
      <c r="G39" s="270">
        <v>1.0</v>
      </c>
      <c r="H39" s="270" t="s">
        <v>7483</v>
      </c>
      <c r="I39" s="270">
        <v>1.0</v>
      </c>
      <c r="J39" s="270" t="s">
        <v>7484</v>
      </c>
      <c r="K39" s="270">
        <v>1.0</v>
      </c>
      <c r="L39" s="270" t="s">
        <v>7485</v>
      </c>
      <c r="M39" s="270">
        <v>4.0</v>
      </c>
      <c r="N39" s="270" t="s">
        <v>7486</v>
      </c>
      <c r="O39" s="269">
        <f t="shared" si="1"/>
        <v>9</v>
      </c>
      <c r="P39" s="197" t="s">
        <v>167</v>
      </c>
    </row>
    <row r="40" ht="35.25" customHeight="1">
      <c r="A40" s="14">
        <v>17.0</v>
      </c>
      <c r="B40" s="274" t="s">
        <v>1903</v>
      </c>
      <c r="C40" s="274" t="s">
        <v>7487</v>
      </c>
      <c r="D40" s="270" t="s">
        <v>7488</v>
      </c>
      <c r="E40" s="270">
        <v>3.0</v>
      </c>
      <c r="F40" s="270" t="s">
        <v>7489</v>
      </c>
      <c r="G40" s="270">
        <v>1.0</v>
      </c>
      <c r="H40" s="270" t="s">
        <v>7490</v>
      </c>
      <c r="I40" s="270">
        <v>2.0</v>
      </c>
      <c r="J40" s="270" t="s">
        <v>7491</v>
      </c>
      <c r="K40" s="270">
        <v>0.0</v>
      </c>
      <c r="L40" s="270" t="s">
        <v>7492</v>
      </c>
      <c r="M40" s="270">
        <v>3.0</v>
      </c>
      <c r="N40" s="270" t="s">
        <v>7493</v>
      </c>
      <c r="O40" s="269">
        <f t="shared" si="1"/>
        <v>9</v>
      </c>
      <c r="P40" s="197" t="s">
        <v>167</v>
      </c>
    </row>
    <row r="41" ht="35.25" customHeight="1">
      <c r="A41" s="14">
        <v>22.0</v>
      </c>
      <c r="B41" s="274" t="s">
        <v>7237</v>
      </c>
      <c r="C41" s="274" t="s">
        <v>7494</v>
      </c>
      <c r="D41" s="270" t="s">
        <v>7495</v>
      </c>
      <c r="E41" s="270">
        <v>2.0</v>
      </c>
      <c r="F41" s="270" t="s">
        <v>7496</v>
      </c>
      <c r="G41" s="270">
        <v>0.0</v>
      </c>
      <c r="H41" s="270" t="s">
        <v>7497</v>
      </c>
      <c r="I41" s="270">
        <v>2.0</v>
      </c>
      <c r="J41" s="270" t="s">
        <v>7498</v>
      </c>
      <c r="K41" s="270">
        <v>1.0</v>
      </c>
      <c r="L41" s="270" t="s">
        <v>7499</v>
      </c>
      <c r="M41" s="270">
        <v>4.0</v>
      </c>
      <c r="N41" s="270" t="s">
        <v>7500</v>
      </c>
      <c r="O41" s="269">
        <f t="shared" si="1"/>
        <v>9</v>
      </c>
      <c r="P41" s="197" t="s">
        <v>167</v>
      </c>
    </row>
    <row r="42" ht="35.25" customHeight="1">
      <c r="A42" s="14">
        <v>41.0</v>
      </c>
      <c r="B42" s="274" t="s">
        <v>1890</v>
      </c>
      <c r="C42" s="274" t="s">
        <v>7501</v>
      </c>
      <c r="D42" s="270" t="s">
        <v>7502</v>
      </c>
      <c r="E42" s="270">
        <v>1.0</v>
      </c>
      <c r="F42" s="270" t="s">
        <v>7503</v>
      </c>
      <c r="G42" s="270">
        <v>2.0</v>
      </c>
      <c r="H42" s="270" t="s">
        <v>7504</v>
      </c>
      <c r="I42" s="270">
        <v>1.0</v>
      </c>
      <c r="J42" s="270" t="s">
        <v>7505</v>
      </c>
      <c r="K42" s="270">
        <v>1.0</v>
      </c>
      <c r="L42" s="270" t="s">
        <v>7506</v>
      </c>
      <c r="M42" s="270">
        <v>4.0</v>
      </c>
      <c r="N42" s="270" t="s">
        <v>7507</v>
      </c>
      <c r="O42" s="269">
        <f t="shared" si="1"/>
        <v>9</v>
      </c>
      <c r="P42" s="197" t="s">
        <v>167</v>
      </c>
    </row>
    <row r="43" ht="35.25" customHeight="1">
      <c r="A43" s="14">
        <v>46.0</v>
      </c>
      <c r="B43" s="274" t="s">
        <v>1916</v>
      </c>
      <c r="C43" s="274" t="s">
        <v>7508</v>
      </c>
      <c r="D43" s="270" t="s">
        <v>7509</v>
      </c>
      <c r="E43" s="270">
        <v>0.0</v>
      </c>
      <c r="F43" s="270" t="s">
        <v>7510</v>
      </c>
      <c r="G43" s="270">
        <v>4.0</v>
      </c>
      <c r="H43" s="270" t="s">
        <v>7511</v>
      </c>
      <c r="I43" s="270">
        <v>0.0</v>
      </c>
      <c r="J43" s="270" t="s">
        <v>7512</v>
      </c>
      <c r="K43" s="270">
        <v>1.0</v>
      </c>
      <c r="L43" s="270" t="s">
        <v>7485</v>
      </c>
      <c r="M43" s="270">
        <v>4.0</v>
      </c>
      <c r="N43" s="270" t="s">
        <v>7513</v>
      </c>
      <c r="O43" s="269">
        <f t="shared" si="1"/>
        <v>9</v>
      </c>
      <c r="P43" s="197" t="s">
        <v>167</v>
      </c>
    </row>
    <row r="44" ht="35.25" customHeight="1">
      <c r="A44" s="14">
        <v>13.0</v>
      </c>
      <c r="B44" s="274" t="s">
        <v>7339</v>
      </c>
      <c r="C44" s="274" t="s">
        <v>7514</v>
      </c>
      <c r="D44" s="270" t="s">
        <v>7515</v>
      </c>
      <c r="E44" s="270">
        <v>1.0</v>
      </c>
      <c r="F44" s="270" t="s">
        <v>7516</v>
      </c>
      <c r="G44" s="270">
        <v>2.0</v>
      </c>
      <c r="H44" s="270" t="s">
        <v>7517</v>
      </c>
      <c r="I44" s="270">
        <v>1.0</v>
      </c>
      <c r="J44" s="270" t="s">
        <v>7518</v>
      </c>
      <c r="K44" s="270">
        <v>1.0</v>
      </c>
      <c r="L44" s="270" t="s">
        <v>7519</v>
      </c>
      <c r="M44" s="270">
        <v>3.0</v>
      </c>
      <c r="N44" s="270" t="s">
        <v>7520</v>
      </c>
      <c r="O44" s="269">
        <f t="shared" si="1"/>
        <v>8</v>
      </c>
      <c r="P44" s="197" t="s">
        <v>423</v>
      </c>
    </row>
    <row r="45" ht="35.25" customHeight="1">
      <c r="A45" s="14">
        <v>18.0</v>
      </c>
      <c r="B45" s="274" t="s">
        <v>1903</v>
      </c>
      <c r="C45" s="274" t="s">
        <v>7521</v>
      </c>
      <c r="D45" s="270" t="s">
        <v>7522</v>
      </c>
      <c r="E45" s="270">
        <v>1.0</v>
      </c>
      <c r="F45" s="270" t="s">
        <v>7523</v>
      </c>
      <c r="G45" s="270">
        <v>0.0</v>
      </c>
      <c r="H45" s="270" t="s">
        <v>7524</v>
      </c>
      <c r="I45" s="270">
        <v>3.0</v>
      </c>
      <c r="J45" s="270" t="s">
        <v>7525</v>
      </c>
      <c r="K45" s="270">
        <v>1.0</v>
      </c>
      <c r="L45" s="270" t="s">
        <v>7526</v>
      </c>
      <c r="M45" s="270">
        <v>3.0</v>
      </c>
      <c r="N45" s="270" t="s">
        <v>7527</v>
      </c>
      <c r="O45" s="269">
        <f t="shared" si="1"/>
        <v>8</v>
      </c>
      <c r="P45" s="197" t="s">
        <v>423</v>
      </c>
    </row>
    <row r="46" ht="35.25" customHeight="1">
      <c r="A46" s="14">
        <v>21.0</v>
      </c>
      <c r="B46" s="274" t="s">
        <v>1903</v>
      </c>
      <c r="C46" s="274" t="s">
        <v>7528</v>
      </c>
      <c r="D46" s="270" t="s">
        <v>7529</v>
      </c>
      <c r="E46" s="270">
        <v>1.0</v>
      </c>
      <c r="F46" s="270" t="s">
        <v>7530</v>
      </c>
      <c r="G46" s="270">
        <v>1.0</v>
      </c>
      <c r="H46" s="270" t="s">
        <v>7531</v>
      </c>
      <c r="I46" s="270">
        <v>1.0</v>
      </c>
      <c r="J46" s="270" t="s">
        <v>7532</v>
      </c>
      <c r="K46" s="270">
        <v>1.0</v>
      </c>
      <c r="L46" s="270" t="s">
        <v>7533</v>
      </c>
      <c r="M46" s="270">
        <v>4.0</v>
      </c>
      <c r="N46" s="270" t="s">
        <v>7534</v>
      </c>
      <c r="O46" s="269">
        <f t="shared" si="1"/>
        <v>8</v>
      </c>
      <c r="P46" s="197" t="s">
        <v>423</v>
      </c>
    </row>
    <row r="47" ht="35.25" customHeight="1">
      <c r="A47" s="14">
        <v>30.0</v>
      </c>
      <c r="B47" s="274" t="s">
        <v>7281</v>
      </c>
      <c r="C47" s="274" t="s">
        <v>7535</v>
      </c>
      <c r="D47" s="270" t="s">
        <v>7536</v>
      </c>
      <c r="E47" s="270">
        <v>1.0</v>
      </c>
      <c r="F47" s="270" t="s">
        <v>7537</v>
      </c>
      <c r="G47" s="269">
        <v>2.0</v>
      </c>
      <c r="H47" s="270" t="s">
        <v>7538</v>
      </c>
      <c r="I47" s="270">
        <v>0.0</v>
      </c>
      <c r="J47" s="270" t="s">
        <v>7539</v>
      </c>
      <c r="K47" s="270">
        <v>1.0</v>
      </c>
      <c r="L47" s="270" t="s">
        <v>7540</v>
      </c>
      <c r="M47" s="270">
        <v>4.0</v>
      </c>
      <c r="N47" s="270" t="s">
        <v>7541</v>
      </c>
      <c r="O47" s="269">
        <f t="shared" si="1"/>
        <v>8</v>
      </c>
      <c r="P47" s="197" t="s">
        <v>423</v>
      </c>
    </row>
    <row r="48" ht="35.25" customHeight="1">
      <c r="A48" s="14">
        <v>14.0</v>
      </c>
      <c r="B48" s="274" t="s">
        <v>7339</v>
      </c>
      <c r="C48" s="274" t="s">
        <v>7542</v>
      </c>
      <c r="D48" s="270" t="s">
        <v>7543</v>
      </c>
      <c r="E48" s="270">
        <v>1.0</v>
      </c>
      <c r="F48" s="270" t="s">
        <v>7544</v>
      </c>
      <c r="G48" s="270">
        <v>2.0</v>
      </c>
      <c r="H48" s="270" t="s">
        <v>7545</v>
      </c>
      <c r="I48" s="270">
        <v>3.0</v>
      </c>
      <c r="J48" s="270" t="s">
        <v>7546</v>
      </c>
      <c r="K48" s="270">
        <v>1.0</v>
      </c>
      <c r="L48" s="270" t="s">
        <v>7547</v>
      </c>
      <c r="M48" s="270">
        <v>0.0</v>
      </c>
      <c r="N48" s="270" t="s">
        <v>7548</v>
      </c>
      <c r="O48" s="269">
        <f t="shared" si="1"/>
        <v>7</v>
      </c>
      <c r="P48" s="197" t="s">
        <v>423</v>
      </c>
    </row>
    <row r="49" ht="35.25" customHeight="1">
      <c r="A49" s="14">
        <v>15.0</v>
      </c>
      <c r="B49" s="274" t="s">
        <v>7339</v>
      </c>
      <c r="C49" s="274" t="s">
        <v>7549</v>
      </c>
      <c r="D49" s="270" t="s">
        <v>7550</v>
      </c>
      <c r="E49" s="270">
        <v>0.0</v>
      </c>
      <c r="F49" s="270" t="s">
        <v>7551</v>
      </c>
      <c r="G49" s="270">
        <v>2.0</v>
      </c>
      <c r="H49" s="270" t="s">
        <v>7552</v>
      </c>
      <c r="I49" s="270">
        <v>1.0</v>
      </c>
      <c r="J49" s="270" t="s">
        <v>7553</v>
      </c>
      <c r="K49" s="270">
        <v>2.0</v>
      </c>
      <c r="L49" s="270" t="s">
        <v>7554</v>
      </c>
      <c r="M49" s="270">
        <v>2.0</v>
      </c>
      <c r="N49" s="270" t="s">
        <v>7555</v>
      </c>
      <c r="O49" s="269">
        <f t="shared" si="1"/>
        <v>7</v>
      </c>
      <c r="P49" s="197" t="s">
        <v>423</v>
      </c>
    </row>
    <row r="50" ht="35.25" customHeight="1">
      <c r="A50" s="14">
        <v>19.0</v>
      </c>
      <c r="B50" s="274" t="s">
        <v>1903</v>
      </c>
      <c r="C50" s="274" t="s">
        <v>7556</v>
      </c>
      <c r="D50" s="270" t="s">
        <v>7557</v>
      </c>
      <c r="E50" s="270">
        <v>1.0</v>
      </c>
      <c r="F50" s="270" t="s">
        <v>7558</v>
      </c>
      <c r="G50" s="270">
        <v>1.0</v>
      </c>
      <c r="H50" s="270" t="s">
        <v>7511</v>
      </c>
      <c r="I50" s="270">
        <v>1.0</v>
      </c>
      <c r="J50" s="270" t="s">
        <v>7512</v>
      </c>
      <c r="K50" s="270">
        <v>0.0</v>
      </c>
      <c r="L50" s="270" t="s">
        <v>7559</v>
      </c>
      <c r="M50" s="270">
        <v>4.0</v>
      </c>
      <c r="N50" s="270" t="s">
        <v>7560</v>
      </c>
      <c r="O50" s="269">
        <f t="shared" si="1"/>
        <v>7</v>
      </c>
      <c r="P50" s="197" t="s">
        <v>423</v>
      </c>
    </row>
    <row r="51" ht="35.25" customHeight="1">
      <c r="A51" s="14">
        <v>29.0</v>
      </c>
      <c r="B51" s="274" t="s">
        <v>7281</v>
      </c>
      <c r="C51" s="274" t="s">
        <v>7561</v>
      </c>
      <c r="D51" s="270" t="s">
        <v>7562</v>
      </c>
      <c r="E51" s="270">
        <v>0.0</v>
      </c>
      <c r="F51" s="270" t="s">
        <v>7563</v>
      </c>
      <c r="G51" s="270">
        <v>2.0</v>
      </c>
      <c r="H51" s="270" t="s">
        <v>7538</v>
      </c>
      <c r="I51" s="270">
        <v>0.0</v>
      </c>
      <c r="J51" s="270" t="s">
        <v>7564</v>
      </c>
      <c r="K51" s="270">
        <v>1.0</v>
      </c>
      <c r="L51" s="270" t="s">
        <v>7565</v>
      </c>
      <c r="M51" s="270">
        <v>4.0</v>
      </c>
      <c r="N51" s="270" t="s">
        <v>7541</v>
      </c>
      <c r="O51" s="269">
        <f t="shared" si="1"/>
        <v>7</v>
      </c>
      <c r="P51" s="197" t="s">
        <v>423</v>
      </c>
    </row>
    <row r="52" ht="35.25" customHeight="1">
      <c r="A52" s="14">
        <v>32.0</v>
      </c>
      <c r="B52" s="274" t="s">
        <v>7281</v>
      </c>
      <c r="C52" s="274" t="s">
        <v>7566</v>
      </c>
      <c r="D52" s="270" t="s">
        <v>7567</v>
      </c>
      <c r="E52" s="270">
        <v>0.0</v>
      </c>
      <c r="F52" s="270" t="s">
        <v>7568</v>
      </c>
      <c r="G52" s="270">
        <v>2.0</v>
      </c>
      <c r="H52" s="270" t="s">
        <v>7569</v>
      </c>
      <c r="I52" s="270">
        <v>1.0</v>
      </c>
      <c r="J52" s="270" t="s">
        <v>7570</v>
      </c>
      <c r="K52" s="270">
        <v>2.0</v>
      </c>
      <c r="L52" s="275" t="s">
        <v>7571</v>
      </c>
      <c r="M52" s="270">
        <v>2.0</v>
      </c>
      <c r="N52" s="270" t="s">
        <v>7572</v>
      </c>
      <c r="O52" s="269">
        <f t="shared" si="1"/>
        <v>7</v>
      </c>
      <c r="P52" s="197" t="s">
        <v>423</v>
      </c>
    </row>
    <row r="53" ht="35.25" customHeight="1">
      <c r="A53" s="14">
        <v>3.0</v>
      </c>
      <c r="B53" s="274" t="s">
        <v>7266</v>
      </c>
      <c r="C53" s="274" t="s">
        <v>7573</v>
      </c>
      <c r="D53" s="270" t="s">
        <v>7574</v>
      </c>
      <c r="E53" s="270">
        <v>1.0</v>
      </c>
      <c r="F53" s="270" t="s">
        <v>7575</v>
      </c>
      <c r="G53" s="270">
        <v>1.0</v>
      </c>
      <c r="H53" s="270" t="s">
        <v>7576</v>
      </c>
      <c r="I53" s="270">
        <v>1.0</v>
      </c>
      <c r="J53" s="270" t="s">
        <v>7577</v>
      </c>
      <c r="K53" s="270">
        <v>1.0</v>
      </c>
      <c r="L53" s="270" t="s">
        <v>7578</v>
      </c>
      <c r="M53" s="270">
        <v>2.0</v>
      </c>
      <c r="N53" s="270" t="s">
        <v>7579</v>
      </c>
      <c r="O53" s="269">
        <f t="shared" si="1"/>
        <v>6</v>
      </c>
      <c r="P53" s="197" t="s">
        <v>447</v>
      </c>
    </row>
    <row r="54" ht="35.25" customHeight="1">
      <c r="A54" s="14">
        <v>16.0</v>
      </c>
      <c r="B54" s="274" t="s">
        <v>1903</v>
      </c>
      <c r="C54" s="274" t="s">
        <v>7580</v>
      </c>
      <c r="D54" s="270" t="s">
        <v>7581</v>
      </c>
      <c r="E54" s="270">
        <v>2.0</v>
      </c>
      <c r="F54" s="270" t="s">
        <v>7582</v>
      </c>
      <c r="G54" s="270">
        <v>0.0</v>
      </c>
      <c r="H54" s="270" t="s">
        <v>7583</v>
      </c>
      <c r="I54" s="270">
        <v>0.0</v>
      </c>
      <c r="J54" s="270" t="s">
        <v>7584</v>
      </c>
      <c r="K54" s="270">
        <v>0.0</v>
      </c>
      <c r="L54" s="270" t="s">
        <v>7585</v>
      </c>
      <c r="M54" s="270">
        <v>4.0</v>
      </c>
      <c r="N54" s="270" t="s">
        <v>7586</v>
      </c>
      <c r="O54" s="269">
        <f t="shared" si="1"/>
        <v>6</v>
      </c>
      <c r="P54" s="197" t="s">
        <v>447</v>
      </c>
    </row>
    <row r="55" ht="35.25" customHeight="1">
      <c r="A55" s="14">
        <v>37.0</v>
      </c>
      <c r="B55" s="274" t="s">
        <v>1890</v>
      </c>
      <c r="C55" s="274" t="s">
        <v>7587</v>
      </c>
      <c r="D55" s="270" t="s">
        <v>7588</v>
      </c>
      <c r="E55" s="270">
        <v>1.0</v>
      </c>
      <c r="F55" s="270" t="s">
        <v>7589</v>
      </c>
      <c r="G55" s="270">
        <v>0.0</v>
      </c>
      <c r="H55" s="270" t="s">
        <v>7590</v>
      </c>
      <c r="I55" s="270">
        <v>0.0</v>
      </c>
      <c r="J55" s="270" t="s">
        <v>7591</v>
      </c>
      <c r="K55" s="270">
        <v>0.0</v>
      </c>
      <c r="L55" s="270" t="s">
        <v>7592</v>
      </c>
      <c r="M55" s="270">
        <v>4.0</v>
      </c>
      <c r="N55" s="270" t="s">
        <v>7593</v>
      </c>
      <c r="O55" s="269">
        <f t="shared" si="1"/>
        <v>5</v>
      </c>
      <c r="P55" s="197" t="s">
        <v>447</v>
      </c>
    </row>
    <row r="56" ht="35.25" customHeight="1">
      <c r="A56" s="14">
        <v>20.0</v>
      </c>
      <c r="B56" s="274" t="s">
        <v>1903</v>
      </c>
      <c r="C56" s="274" t="s">
        <v>7594</v>
      </c>
      <c r="D56" s="270" t="s">
        <v>7464</v>
      </c>
      <c r="E56" s="270">
        <v>0.0</v>
      </c>
      <c r="F56" s="270" t="s">
        <v>7595</v>
      </c>
      <c r="G56" s="270">
        <v>0.0</v>
      </c>
      <c r="H56" s="270" t="s">
        <v>7596</v>
      </c>
      <c r="I56" s="270">
        <v>0.0</v>
      </c>
      <c r="J56" s="270" t="s">
        <v>7597</v>
      </c>
      <c r="K56" s="270">
        <v>0.0</v>
      </c>
      <c r="L56" s="270" t="s">
        <v>7598</v>
      </c>
      <c r="M56" s="270">
        <v>4.0</v>
      </c>
      <c r="N56" s="270" t="s">
        <v>7599</v>
      </c>
      <c r="O56" s="269">
        <f t="shared" si="1"/>
        <v>4</v>
      </c>
      <c r="P56" s="197" t="s">
        <v>447</v>
      </c>
    </row>
  </sheetData>
  <autoFilter ref="$A$2:$P$56">
    <sortState ref="A2:P56">
      <sortCondition descending="1" ref="O2:O56"/>
      <sortCondition ref="A2:A56"/>
      <sortCondition ref="M2:M56"/>
      <sortCondition ref="K2:K56"/>
      <sortCondition ref="I2:I56"/>
      <sortCondition ref="G2:G56"/>
      <sortCondition ref="E2:E56"/>
    </sortState>
  </autoFilter>
  <mergeCells count="3">
    <mergeCell ref="A1:C1"/>
    <mergeCell ref="D1:M1"/>
    <mergeCell ref="N1:P1"/>
  </mergeCells>
  <conditionalFormatting sqref="P3:P56">
    <cfRule type="cellIs" dxfId="5" priority="1" operator="equal">
      <formula>"S"</formula>
    </cfRule>
  </conditionalFormatting>
  <conditionalFormatting sqref="P3:P56">
    <cfRule type="cellIs" dxfId="6" priority="2" operator="equal">
      <formula>"B"</formula>
    </cfRule>
  </conditionalFormatting>
  <conditionalFormatting sqref="P3:P56">
    <cfRule type="cellIs" dxfId="7" priority="3" operator="equal">
      <formula>"D"</formula>
    </cfRule>
  </conditionalFormatting>
  <conditionalFormatting sqref="P3:P56">
    <cfRule type="cellIs" dxfId="8" priority="4" operator="equal">
      <formula>"C"</formula>
    </cfRule>
  </conditionalFormatting>
  <conditionalFormatting sqref="P3:P56">
    <cfRule type="cellIs" dxfId="9" priority="5" operator="equal">
      <formula>"A"</formula>
    </cfRule>
  </conditionalFormatting>
  <conditionalFormatting sqref="P3:P56">
    <cfRule type="cellIs" dxfId="3" priority="6" operator="equal">
      <formula>"F"</formula>
    </cfRule>
  </conditionalFormatting>
  <conditionalFormatting sqref="P3:P56">
    <cfRule type="cellIs" dxfId="4" priority="7" operator="equal">
      <formula>"E"</formula>
    </cfRule>
  </conditionalFormatting>
  <conditionalFormatting sqref="P3:P56">
    <cfRule type="cellIs" dxfId="25" priority="8" operator="equal">
      <formula>"G"</formula>
    </cfRule>
  </conditionalFormatting>
  <conditionalFormatting sqref="P3:P56">
    <cfRule type="cellIs" dxfId="28" priority="9" operator="equal">
      <formula>"H"</formula>
    </cfRule>
  </conditionalFormatting>
  <conditionalFormatting sqref="D3:M56">
    <cfRule type="colorScale" priority="10">
      <colorScale>
        <cfvo type="min"/>
        <cfvo type="formula" val="2"/>
        <cfvo type="max"/>
        <color rgb="FFE67C73"/>
        <color rgb="FFFFD666"/>
        <color rgb="FF57BB8A"/>
      </colorScale>
    </cfRule>
  </conditionalFormatting>
  <conditionalFormatting sqref="O3:O56">
    <cfRule type="colorScale" priority="1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71.25"/>
  </cols>
  <sheetData>
    <row r="1" ht="21.0" customHeight="1">
      <c r="A1" s="276" t="s">
        <v>7600</v>
      </c>
      <c r="B1" s="276" t="s">
        <v>4979</v>
      </c>
    </row>
    <row r="2">
      <c r="A2" s="277">
        <v>45439.0</v>
      </c>
      <c r="B2" s="278" t="s">
        <v>7601</v>
      </c>
    </row>
    <row r="3">
      <c r="A3" s="277">
        <v>45396.0</v>
      </c>
      <c r="B3" s="278" t="s">
        <v>7602</v>
      </c>
    </row>
    <row r="4">
      <c r="A4" s="277">
        <v>45393.0</v>
      </c>
      <c r="B4" s="278" t="s">
        <v>7603</v>
      </c>
    </row>
    <row r="5">
      <c r="A5" s="277">
        <v>45361.0</v>
      </c>
      <c r="B5" s="278" t="s">
        <v>7604</v>
      </c>
    </row>
    <row r="6">
      <c r="A6" s="277">
        <v>45358.0</v>
      </c>
      <c r="B6" s="278" t="s">
        <v>7605</v>
      </c>
    </row>
    <row r="7">
      <c r="A7" s="277">
        <v>45315.0</v>
      </c>
      <c r="B7" s="278" t="s">
        <v>7606</v>
      </c>
    </row>
    <row r="8">
      <c r="A8" s="277">
        <v>45314.0</v>
      </c>
      <c r="B8" s="278" t="s">
        <v>7607</v>
      </c>
    </row>
    <row r="9">
      <c r="A9" s="277">
        <v>45282.0</v>
      </c>
      <c r="B9" s="278" t="s">
        <v>7608</v>
      </c>
    </row>
    <row r="10">
      <c r="A10" s="277">
        <v>45282.0</v>
      </c>
      <c r="B10" s="278" t="s">
        <v>7609</v>
      </c>
    </row>
    <row r="11">
      <c r="A11" s="277">
        <v>45282.0</v>
      </c>
      <c r="B11" s="279" t="s">
        <v>7610</v>
      </c>
    </row>
    <row r="12">
      <c r="A12" s="277">
        <v>45282.0</v>
      </c>
      <c r="B12" s="279" t="s">
        <v>7611</v>
      </c>
    </row>
    <row r="13">
      <c r="A13" s="277">
        <v>45282.0</v>
      </c>
      <c r="B13" s="279" t="s">
        <v>7612</v>
      </c>
    </row>
    <row r="14">
      <c r="A14" s="277">
        <v>45282.0</v>
      </c>
      <c r="B14" s="279" t="s">
        <v>7613</v>
      </c>
    </row>
    <row r="15">
      <c r="A15" s="277">
        <v>45282.0</v>
      </c>
      <c r="B15" s="279" t="s">
        <v>7614</v>
      </c>
    </row>
    <row r="16">
      <c r="A16" s="277">
        <v>45282.0</v>
      </c>
      <c r="B16" s="279" t="s">
        <v>7615</v>
      </c>
    </row>
    <row r="17">
      <c r="A17" s="277">
        <v>45282.0</v>
      </c>
      <c r="B17" s="279" t="s">
        <v>7616</v>
      </c>
    </row>
    <row r="18">
      <c r="A18" s="277">
        <v>45282.0</v>
      </c>
      <c r="B18" s="279" t="s">
        <v>7617</v>
      </c>
    </row>
    <row r="19" ht="33.75" customHeight="1">
      <c r="A19" s="277">
        <v>45276.0</v>
      </c>
      <c r="B19" s="279" t="s">
        <v>7618</v>
      </c>
    </row>
    <row r="20" ht="33.75" customHeight="1">
      <c r="A20" s="277">
        <v>45270.0</v>
      </c>
      <c r="B20" s="279" t="s">
        <v>7619</v>
      </c>
    </row>
    <row r="21" ht="33.75" customHeight="1">
      <c r="A21" s="277">
        <v>45253.0</v>
      </c>
      <c r="B21" s="279" t="s">
        <v>7620</v>
      </c>
    </row>
    <row r="22" ht="33.75" customHeight="1">
      <c r="A22" s="277">
        <v>45242.0</v>
      </c>
      <c r="B22" s="279" t="s">
        <v>7621</v>
      </c>
    </row>
    <row r="23" ht="33.75" customHeight="1">
      <c r="A23" s="277">
        <v>45219.0</v>
      </c>
      <c r="B23" s="279" t="s">
        <v>7622</v>
      </c>
    </row>
    <row r="24" ht="33.75" customHeight="1">
      <c r="A24" s="277">
        <v>45213.0</v>
      </c>
      <c r="B24" s="279" t="s">
        <v>7623</v>
      </c>
    </row>
    <row r="25" ht="33.75" customHeight="1">
      <c r="A25" s="277">
        <v>45212.0</v>
      </c>
      <c r="B25" s="279" t="s">
        <v>7624</v>
      </c>
    </row>
    <row r="26" ht="33.75" customHeight="1">
      <c r="A26" s="277">
        <v>45211.0</v>
      </c>
      <c r="B26" s="279" t="s">
        <v>7625</v>
      </c>
    </row>
    <row r="27" ht="33.75" customHeight="1">
      <c r="A27" s="277">
        <v>45207.0</v>
      </c>
      <c r="B27" s="279" t="s">
        <v>7626</v>
      </c>
    </row>
    <row r="28" ht="33.75" customHeight="1">
      <c r="A28" s="277">
        <v>45206.0</v>
      </c>
      <c r="B28" s="278" t="s">
        <v>7627</v>
      </c>
    </row>
    <row r="29" ht="33.75" customHeight="1">
      <c r="A29" s="277">
        <v>45205.0</v>
      </c>
      <c r="B29" s="279" t="s">
        <v>7628</v>
      </c>
    </row>
  </sheetData>
  <drawing r:id="rId1"/>
  <tableParts count="1">
    <tablePart r:id="rId3"/>
  </tableParts>
</worksheet>
</file>