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234\OneDrive\Desktop\"/>
    </mc:Choice>
  </mc:AlternateContent>
  <xr:revisionPtr revIDLastSave="0" documentId="13_ncr:1_{4CE82BA1-835D-43B5-93C9-178164CF7DB7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Practice Fin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6" i="2" l="1"/>
  <c r="C196" i="2" l="1"/>
  <c r="C91" i="2" l="1"/>
  <c r="C72" i="2"/>
  <c r="E22" i="2" l="1"/>
  <c r="H209" i="2" l="1"/>
  <c r="I209" i="2"/>
  <c r="C75" i="2"/>
  <c r="D23" i="2"/>
  <c r="D24" i="2" s="1"/>
  <c r="C6" i="2"/>
  <c r="E23" i="2" l="1"/>
  <c r="E24" i="2" s="1"/>
  <c r="E25" i="2" s="1"/>
  <c r="F93" i="2"/>
  <c r="F95" i="2" s="1"/>
  <c r="C99" i="2"/>
  <c r="F77" i="2"/>
  <c r="F85" i="2"/>
  <c r="C83" i="2"/>
  <c r="F159" i="2"/>
  <c r="F158" i="2"/>
  <c r="F157" i="2"/>
  <c r="F150" i="2"/>
  <c r="F149" i="2"/>
  <c r="F148" i="2"/>
  <c r="F78" i="2" l="1"/>
  <c r="F151" i="2"/>
  <c r="F153" i="2" s="1"/>
  <c r="C157" i="2" s="1"/>
  <c r="F86" i="2"/>
  <c r="F160" i="2"/>
  <c r="F199" i="2"/>
  <c r="F198" i="2"/>
  <c r="F124" i="2"/>
  <c r="F123" i="2"/>
  <c r="F122" i="2"/>
  <c r="F162" i="2" l="1"/>
  <c r="F125" i="2"/>
  <c r="F127" i="2" s="1"/>
  <c r="B54" i="2"/>
  <c r="I210" i="2" l="1"/>
  <c r="I208" i="2"/>
  <c r="I207" i="2"/>
  <c r="I206" i="2"/>
  <c r="I205" i="2"/>
  <c r="I204" i="2"/>
  <c r="I203" i="2"/>
  <c r="I202" i="2"/>
  <c r="I201" i="2"/>
  <c r="I200" i="2"/>
  <c r="I199" i="2"/>
  <c r="H210" i="2"/>
  <c r="H208" i="2"/>
  <c r="H207" i="2"/>
  <c r="H206" i="2"/>
  <c r="H205" i="2"/>
  <c r="H204" i="2"/>
  <c r="H203" i="2"/>
  <c r="H202" i="2"/>
  <c r="H201" i="2"/>
  <c r="H200" i="2"/>
  <c r="H199" i="2"/>
  <c r="E168" i="2" l="1"/>
  <c r="D168" i="2"/>
  <c r="C206" i="2" l="1"/>
  <c r="F205" i="2"/>
  <c r="C137" i="2"/>
  <c r="C138" i="2" s="1"/>
  <c r="C139" i="2" s="1"/>
  <c r="C29" i="2"/>
  <c r="C190" i="2"/>
  <c r="C189" i="2"/>
  <c r="C183" i="2"/>
  <c r="C177" i="2"/>
  <c r="C111" i="2"/>
  <c r="C112" i="2" s="1"/>
  <c r="C106" i="2"/>
  <c r="C107" i="2" s="1"/>
  <c r="C191" i="2" l="1"/>
  <c r="F200" i="2"/>
  <c r="F103" i="2"/>
  <c r="F102" i="2"/>
  <c r="E169" i="2"/>
  <c r="D169" i="2"/>
  <c r="F167" i="2"/>
  <c r="F104" i="2" l="1"/>
  <c r="F169" i="2"/>
  <c r="C171" i="2" s="1"/>
  <c r="D17" i="2" l="1"/>
  <c r="D18" i="2" s="1"/>
  <c r="E16" i="2"/>
  <c r="F116" i="2"/>
  <c r="F115" i="2"/>
  <c r="F114" i="2"/>
  <c r="C59" i="2"/>
  <c r="C62" i="2" s="1"/>
  <c r="C65" i="2"/>
  <c r="C68" i="2" s="1"/>
  <c r="F117" i="2" l="1"/>
  <c r="F119" i="2" s="1"/>
  <c r="E17" i="2"/>
  <c r="E18" i="2" s="1"/>
  <c r="E19" i="2" s="1"/>
  <c r="F58" i="2"/>
  <c r="F57" i="2"/>
  <c r="F59" i="2" l="1"/>
  <c r="H211" i="2" l="1"/>
  <c r="F201" i="2" s="1"/>
  <c r="F206" i="2" l="1"/>
  <c r="I211" i="2" l="1"/>
  <c r="F202" i="2" s="1"/>
  <c r="F203" i="2" s="1"/>
  <c r="F204" i="2" s="1"/>
  <c r="C143" i="2"/>
  <c r="C146" i="2" s="1"/>
  <c r="C52" i="2"/>
  <c r="C40" i="2"/>
  <c r="C33" i="2"/>
  <c r="C36" i="2" s="1"/>
  <c r="C54" i="2" l="1"/>
  <c r="C43" i="2"/>
  <c r="C44" i="2"/>
  <c r="C45" i="2" l="1"/>
  <c r="C11" i="2"/>
  <c r="C12" i="2" l="1"/>
  <c r="C13" i="2" s="1"/>
</calcChain>
</file>

<file path=xl/sharedStrings.xml><?xml version="1.0" encoding="utf-8"?>
<sst xmlns="http://schemas.openxmlformats.org/spreadsheetml/2006/main" count="356" uniqueCount="155">
  <si>
    <t>LTV</t>
  </si>
  <si>
    <t>Acquisition Price</t>
  </si>
  <si>
    <t>Equity</t>
  </si>
  <si>
    <t>Debt</t>
  </si>
  <si>
    <t>Loan Amount</t>
  </si>
  <si>
    <t>Interest Rate</t>
  </si>
  <si>
    <t>Monthly PMT</t>
  </si>
  <si>
    <t>Purchase price</t>
  </si>
  <si>
    <t>Loan 1</t>
  </si>
  <si>
    <t>Loan 2</t>
  </si>
  <si>
    <t>Difference in PMT</t>
  </si>
  <si>
    <t>Different in Loan</t>
  </si>
  <si>
    <t>Incremental Borrowing Cost</t>
  </si>
  <si>
    <t>Index+Margin</t>
  </si>
  <si>
    <t>Period Cap</t>
  </si>
  <si>
    <t>Margin</t>
  </si>
  <si>
    <t>Lifetime Cap</t>
  </si>
  <si>
    <t>Annual Appreciation</t>
  </si>
  <si>
    <t>Property Value</t>
  </si>
  <si>
    <t>Purchase Price</t>
  </si>
  <si>
    <t>Down Payment</t>
  </si>
  <si>
    <t>Option 1</t>
  </si>
  <si>
    <t>Option 2</t>
  </si>
  <si>
    <t>Monthly Payment</t>
  </si>
  <si>
    <t>Cap Rate</t>
  </si>
  <si>
    <t>NOI</t>
  </si>
  <si>
    <t>Square Feet</t>
  </si>
  <si>
    <t>Rent/SF/Year</t>
  </si>
  <si>
    <t>Expenses/SF/Year</t>
  </si>
  <si>
    <t>Expense Stop</t>
  </si>
  <si>
    <t>Revenue</t>
  </si>
  <si>
    <t>Landlord Expenses</t>
  </si>
  <si>
    <t>Tenant Expenses</t>
  </si>
  <si>
    <t>BTCF</t>
  </si>
  <si>
    <t>DSCR</t>
  </si>
  <si>
    <t>Interest</t>
  </si>
  <si>
    <t>Principal</t>
  </si>
  <si>
    <t>Taxable Income</t>
  </si>
  <si>
    <t>Previous distribution</t>
  </si>
  <si>
    <t>1)</t>
  </si>
  <si>
    <t>2)</t>
  </si>
  <si>
    <t>Loan</t>
  </si>
  <si>
    <t>3)</t>
  </si>
  <si>
    <t>4)</t>
  </si>
  <si>
    <t>5)</t>
  </si>
  <si>
    <t>Appraised Value</t>
  </si>
  <si>
    <t>Max LTV</t>
  </si>
  <si>
    <t>Max RAM Loan</t>
  </si>
  <si>
    <t>6)</t>
  </si>
  <si>
    <t>7)</t>
  </si>
  <si>
    <t>Max Rate</t>
  </si>
  <si>
    <t>12)</t>
  </si>
  <si>
    <t>Length</t>
  </si>
  <si>
    <t>Width</t>
  </si>
  <si>
    <t>Area</t>
  </si>
  <si>
    <t>Adjusted Lot Size</t>
  </si>
  <si>
    <t>FAR</t>
  </si>
  <si>
    <t>Buildable SF</t>
  </si>
  <si>
    <t>13)</t>
  </si>
  <si>
    <t>14)</t>
  </si>
  <si>
    <t>15)</t>
  </si>
  <si>
    <t>18)</t>
  </si>
  <si>
    <t>19)</t>
  </si>
  <si>
    <t>Max Debt Service</t>
  </si>
  <si>
    <t>Net Cash Proceeds</t>
  </si>
  <si>
    <t>Investment balance</t>
  </si>
  <si>
    <t>Amortization (years)</t>
  </si>
  <si>
    <t>Prepayment Year</t>
  </si>
  <si>
    <t>Periodic Adjustments</t>
  </si>
  <si>
    <t>Index (1-year LIBOR)</t>
  </si>
  <si>
    <t>Teaser Rate (2 years)</t>
  </si>
  <si>
    <t>Rent/SF/month</t>
  </si>
  <si>
    <t>Expense Stop/SF/month</t>
  </si>
  <si>
    <t>Building Depreciation Ratio</t>
  </si>
  <si>
    <t>Depreciation Schedule (years)</t>
  </si>
  <si>
    <t>Years</t>
  </si>
  <si>
    <t>Price per square foot</t>
  </si>
  <si>
    <t>Loan to Value (Max)</t>
  </si>
  <si>
    <t>Equity Required</t>
  </si>
  <si>
    <t>Period</t>
  </si>
  <si>
    <t>Term (years)</t>
  </si>
  <si>
    <t>Interest Rate (annual)</t>
  </si>
  <si>
    <t>Debt, Interest Only (LTV)</t>
  </si>
  <si>
    <t>9)</t>
  </si>
  <si>
    <t>NOI to Owner</t>
  </si>
  <si>
    <t>Lot Size (feet)</t>
  </si>
  <si>
    <t>Year 1 Operating expenses</t>
  </si>
  <si>
    <t>Annual Debt Service</t>
  </si>
  <si>
    <t>Equity appreciation</t>
  </si>
  <si>
    <t>Amortization</t>
  </si>
  <si>
    <t>Interest rate</t>
  </si>
  <si>
    <t>Points</t>
  </si>
  <si>
    <t>Fees</t>
  </si>
  <si>
    <t>Loan Proceeds (net of fees)</t>
  </si>
  <si>
    <t>APR</t>
  </si>
  <si>
    <t>Loan Repayment (years)</t>
  </si>
  <si>
    <t>Balance of Loan</t>
  </si>
  <si>
    <t>21)</t>
  </si>
  <si>
    <t>22)</t>
  </si>
  <si>
    <t>23)</t>
  </si>
  <si>
    <t>24)</t>
  </si>
  <si>
    <t>25)</t>
  </si>
  <si>
    <t>C</t>
  </si>
  <si>
    <t>D</t>
  </si>
  <si>
    <t>Total Appreciation</t>
  </si>
  <si>
    <t>B</t>
  </si>
  <si>
    <t>8)</t>
  </si>
  <si>
    <t>A</t>
  </si>
  <si>
    <t>27)</t>
  </si>
  <si>
    <t>``</t>
  </si>
  <si>
    <t>Less:  Operating expenses</t>
  </si>
  <si>
    <t>Less:  Debt Service</t>
  </si>
  <si>
    <t>Less:  Depreciation</t>
  </si>
  <si>
    <t>Less:  Setbacks from each side (feet)</t>
  </si>
  <si>
    <t>16)</t>
  </si>
  <si>
    <t>26)</t>
  </si>
  <si>
    <t>28)</t>
  </si>
  <si>
    <t>32)</t>
  </si>
  <si>
    <t>33-36)</t>
  </si>
  <si>
    <t>10)</t>
  </si>
  <si>
    <t>11)</t>
  </si>
  <si>
    <t>17)</t>
  </si>
  <si>
    <t>20)</t>
  </si>
  <si>
    <t>29)</t>
  </si>
  <si>
    <t>30)</t>
  </si>
  <si>
    <t>31)</t>
  </si>
  <si>
    <t>33)</t>
  </si>
  <si>
    <t>34)</t>
  </si>
  <si>
    <t>35)</t>
  </si>
  <si>
    <t>36)</t>
  </si>
  <si>
    <t>37)</t>
  </si>
  <si>
    <t>38)</t>
  </si>
  <si>
    <t>39)</t>
  </si>
  <si>
    <t>40)</t>
  </si>
  <si>
    <t>41)</t>
  </si>
  <si>
    <t>42)</t>
  </si>
  <si>
    <t>43)</t>
  </si>
  <si>
    <t>44)</t>
  </si>
  <si>
    <t>45)</t>
  </si>
  <si>
    <t>46)</t>
  </si>
  <si>
    <t>47)</t>
  </si>
  <si>
    <t>48)</t>
  </si>
  <si>
    <t>49)</t>
  </si>
  <si>
    <t>50)</t>
  </si>
  <si>
    <t>Initial Investment by Mr. Whirty</t>
  </si>
  <si>
    <t xml:space="preserve">Previous Distribution to Mr. Whirty </t>
  </si>
  <si>
    <t>Distribution on Sale to Mr. Whirty</t>
  </si>
  <si>
    <t>Split to Mr. Whirty</t>
  </si>
  <si>
    <t>Split to Mr. Nguyen</t>
  </si>
  <si>
    <t>Proceeds to Mr. Whirty</t>
  </si>
  <si>
    <t>PV (choose any initial amount)</t>
  </si>
  <si>
    <t>FV (double the initial amount chosen)</t>
  </si>
  <si>
    <t>Winter 2022 Final Exam Practice Questions - Answer Key</t>
  </si>
  <si>
    <t>Periodic Interest Rate Increase Cap</t>
  </si>
  <si>
    <t>Lifetime Interest Rate Increase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</si>
</sst>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%_);\(#,##0.0%\)"/>
    <numFmt numFmtId="167" formatCode="_(* #,##0_);_(* \(#,##0\);_(* &quot;-&quot;?_);_(@_)"/>
    <numFmt numFmtId="168" formatCode="&quot;$&quot;#,##0.00"/>
    <numFmt numFmtId="169" formatCode="&quot;$&quot;#,##0"/>
    <numFmt numFmtId="170" formatCode="#,##0.00%_);\(#,##0.00%\)"/>
    <numFmt numFmtId="171" formatCode="0.0"/>
    <numFmt numFmtId="172" formatCode="0.000%"/>
  </numFmts>
  <fonts count="10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color rgb="FF0000FF"/>
      <name val="Calibri"/>
      <family val="2"/>
      <scheme val="minor"/>
    </font>
    <font>
      <b/>
      <sz val="10"/>
      <name val="Calibri"/>
      <family val="2"/>
      <scheme val="minor"/>
    </font>
    <font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164" fontId="0" fillId="0" borderId="0" xfId="0" applyNumberFormat="1"/>
    <xf numFmtId="0" fontId="4" fillId="0" borderId="0" xfId="0" applyFont="1"/>
    <xf numFmtId="165" fontId="4" fillId="0" borderId="0" xfId="2" applyNumberFormat="1" applyFont="1"/>
    <xf numFmtId="8" fontId="0" fillId="0" borderId="0" xfId="0" applyNumberFormat="1"/>
    <xf numFmtId="0" fontId="0" fillId="0" borderId="3" xfId="0" applyBorder="1"/>
    <xf numFmtId="164" fontId="4" fillId="0" borderId="4" xfId="1" applyNumberFormat="1" applyFont="1" applyBorder="1"/>
    <xf numFmtId="0" fontId="0" fillId="0" borderId="5" xfId="0" applyBorder="1"/>
    <xf numFmtId="0" fontId="4" fillId="0" borderId="6" xfId="0" applyFont="1" applyBorder="1"/>
    <xf numFmtId="9" fontId="4" fillId="0" borderId="6" xfId="0" applyNumberFormat="1" applyFont="1" applyBorder="1"/>
    <xf numFmtId="10" fontId="4" fillId="0" borderId="6" xfId="0" applyNumberFormat="1" applyFont="1" applyBorder="1"/>
    <xf numFmtId="164" fontId="0" fillId="0" borderId="6" xfId="0" applyNumberFormat="1" applyBorder="1"/>
    <xf numFmtId="0" fontId="2" fillId="0" borderId="0" xfId="0" applyFont="1"/>
    <xf numFmtId="0" fontId="2" fillId="0" borderId="7" xfId="0" applyFont="1" applyBorder="1"/>
    <xf numFmtId="169" fontId="4" fillId="0" borderId="6" xfId="0" applyNumberFormat="1" applyFont="1" applyBorder="1"/>
    <xf numFmtId="169" fontId="4" fillId="0" borderId="4" xfId="0" applyNumberFormat="1" applyFont="1" applyBorder="1"/>
    <xf numFmtId="169" fontId="0" fillId="0" borderId="6" xfId="0" applyNumberFormat="1" applyBorder="1"/>
    <xf numFmtId="8" fontId="0" fillId="0" borderId="6" xfId="0" applyNumberFormat="1" applyBorder="1"/>
    <xf numFmtId="9" fontId="4" fillId="0" borderId="0" xfId="0" applyNumberFormat="1" applyFont="1"/>
    <xf numFmtId="8" fontId="6" fillId="0" borderId="6" xfId="0" applyNumberFormat="1" applyFont="1" applyBorder="1"/>
    <xf numFmtId="165" fontId="4" fillId="0" borderId="6" xfId="2" applyNumberFormat="1" applyFont="1" applyBorder="1"/>
    <xf numFmtId="164" fontId="4" fillId="0" borderId="0" xfId="1" applyNumberFormat="1" applyFont="1"/>
    <xf numFmtId="164" fontId="4" fillId="0" borderId="1" xfId="1" applyNumberFormat="1" applyFont="1" applyBorder="1"/>
    <xf numFmtId="0" fontId="0" fillId="0" borderId="1" xfId="0" applyBorder="1"/>
    <xf numFmtId="0" fontId="3" fillId="0" borderId="1" xfId="0" applyFont="1" applyBorder="1"/>
    <xf numFmtId="0" fontId="0" fillId="0" borderId="4" xfId="0" applyBorder="1"/>
    <xf numFmtId="6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165" fontId="2" fillId="2" borderId="6" xfId="2" applyNumberFormat="1" applyFont="1" applyFill="1" applyBorder="1"/>
    <xf numFmtId="8" fontId="2" fillId="2" borderId="8" xfId="0" applyNumberFormat="1" applyFont="1" applyFill="1" applyBorder="1"/>
    <xf numFmtId="6" fontId="2" fillId="2" borderId="8" xfId="0" applyNumberFormat="1" applyFont="1" applyFill="1" applyBorder="1"/>
    <xf numFmtId="43" fontId="2" fillId="2" borderId="8" xfId="0" applyNumberFormat="1" applyFont="1" applyFill="1" applyBorder="1"/>
    <xf numFmtId="170" fontId="4" fillId="0" borderId="0" xfId="0" applyNumberFormat="1" applyFont="1"/>
    <xf numFmtId="166" fontId="0" fillId="0" borderId="4" xfId="0" applyNumberFormat="1" applyBorder="1"/>
    <xf numFmtId="166" fontId="0" fillId="0" borderId="6" xfId="0" applyNumberFormat="1" applyBorder="1"/>
    <xf numFmtId="167" fontId="2" fillId="2" borderId="6" xfId="0" applyNumberFormat="1" applyFont="1" applyFill="1" applyBorder="1"/>
    <xf numFmtId="37" fontId="4" fillId="0" borderId="2" xfId="0" applyNumberFormat="1" applyFont="1" applyBorder="1"/>
    <xf numFmtId="165" fontId="4" fillId="0" borderId="1" xfId="2" applyNumberFormat="1" applyFont="1" applyBorder="1"/>
    <xf numFmtId="0" fontId="2" fillId="0" borderId="2" xfId="0" applyFont="1" applyBorder="1"/>
    <xf numFmtId="165" fontId="2" fillId="2" borderId="8" xfId="2" applyNumberFormat="1" applyFont="1" applyFill="1" applyBorder="1"/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3" fontId="0" fillId="0" borderId="6" xfId="0" applyNumberFormat="1" applyBorder="1"/>
    <xf numFmtId="3" fontId="0" fillId="0" borderId="4" xfId="0" applyNumberFormat="1" applyBorder="1"/>
    <xf numFmtId="171" fontId="4" fillId="0" borderId="0" xfId="0" applyNumberFormat="1" applyFont="1" applyAlignment="1">
      <alignment horizontal="center"/>
    </xf>
    <xf numFmtId="3" fontId="2" fillId="0" borderId="6" xfId="0" applyNumberFormat="1" applyFont="1" applyBorder="1"/>
    <xf numFmtId="8" fontId="0" fillId="0" borderId="2" xfId="0" applyNumberFormat="1" applyBorder="1"/>
    <xf numFmtId="3" fontId="2" fillId="2" borderId="2" xfId="0" applyNumberFormat="1" applyFont="1" applyFill="1" applyBorder="1" applyAlignment="1">
      <alignment horizontal="center"/>
    </xf>
    <xf numFmtId="165" fontId="4" fillId="0" borderId="0" xfId="0" applyNumberFormat="1" applyFont="1"/>
    <xf numFmtId="168" fontId="4" fillId="0" borderId="6" xfId="0" applyNumberFormat="1" applyFont="1" applyBorder="1"/>
    <xf numFmtId="164" fontId="4" fillId="0" borderId="6" xfId="1" applyNumberFormat="1" applyFont="1" applyBorder="1"/>
    <xf numFmtId="10" fontId="4" fillId="0" borderId="0" xfId="0" applyNumberFormat="1" applyFont="1"/>
    <xf numFmtId="0" fontId="4" fillId="0" borderId="4" xfId="0" applyFont="1" applyBorder="1"/>
    <xf numFmtId="0" fontId="0" fillId="0" borderId="5" xfId="0" applyBorder="1" applyAlignment="1">
      <alignment horizontal="left" indent="1"/>
    </xf>
    <xf numFmtId="43" fontId="4" fillId="0" borderId="0" xfId="1" applyFont="1"/>
    <xf numFmtId="0" fontId="5" fillId="0" borderId="0" xfId="0" applyFont="1" applyAlignment="1">
      <alignment horizontal="left" indent="1"/>
    </xf>
    <xf numFmtId="0" fontId="2" fillId="0" borderId="0" xfId="0" quotePrefix="1" applyFont="1"/>
    <xf numFmtId="0" fontId="0" fillId="0" borderId="0" xfId="0" quotePrefix="1"/>
    <xf numFmtId="0" fontId="3" fillId="0" borderId="5" xfId="0" applyFont="1" applyBorder="1"/>
    <xf numFmtId="3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4" fillId="0" borderId="6" xfId="0" applyNumberFormat="1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5" fillId="0" borderId="5" xfId="0" quotePrefix="1" applyFont="1" applyBorder="1"/>
    <xf numFmtId="1" fontId="7" fillId="0" borderId="0" xfId="0" applyNumberFormat="1" applyFont="1" applyAlignment="1">
      <alignment horizontal="center"/>
    </xf>
    <xf numFmtId="1" fontId="5" fillId="0" borderId="0" xfId="0" applyNumberFormat="1" applyFont="1"/>
    <xf numFmtId="164" fontId="4" fillId="0" borderId="0" xfId="1" applyNumberFormat="1" applyFont="1" applyBorder="1"/>
    <xf numFmtId="0" fontId="0" fillId="0" borderId="0" xfId="0" applyBorder="1"/>
    <xf numFmtId="172" fontId="4" fillId="0" borderId="0" xfId="0" applyNumberFormat="1" applyFont="1" applyBorder="1"/>
    <xf numFmtId="9" fontId="4" fillId="0" borderId="0" xfId="0" applyNumberFormat="1" applyFont="1" applyBorder="1"/>
    <xf numFmtId="0" fontId="0" fillId="0" borderId="7" xfId="0" applyFill="1" applyBorder="1"/>
    <xf numFmtId="0" fontId="2" fillId="0" borderId="0" xfId="0" applyFont="1" applyBorder="1"/>
    <xf numFmtId="8" fontId="0" fillId="0" borderId="4" xfId="0" applyNumberFormat="1" applyBorder="1"/>
    <xf numFmtId="172" fontId="2" fillId="2" borderId="6" xfId="2" applyNumberFormat="1" applyFont="1" applyFill="1" applyBorder="1"/>
    <xf numFmtId="6" fontId="2" fillId="2" borderId="6" xfId="0" applyNumberFormat="1" applyFont="1" applyFill="1" applyBorder="1"/>
    <xf numFmtId="165" fontId="2" fillId="0" borderId="0" xfId="2" applyNumberFormat="1" applyFont="1" applyFill="1" applyBorder="1"/>
    <xf numFmtId="43" fontId="2" fillId="0" borderId="6" xfId="0" applyNumberFormat="1" applyFont="1" applyFill="1" applyBorder="1"/>
    <xf numFmtId="6" fontId="2" fillId="0" borderId="0" xfId="0" applyNumberFormat="1" applyFont="1" applyFill="1" applyBorder="1"/>
    <xf numFmtId="43" fontId="2" fillId="0" borderId="0" xfId="1" applyFont="1" applyBorder="1"/>
    <xf numFmtId="5" fontId="2" fillId="2" borderId="8" xfId="0" applyNumberFormat="1" applyFont="1" applyFill="1" applyBorder="1"/>
    <xf numFmtId="169" fontId="6" fillId="0" borderId="6" xfId="0" applyNumberFormat="1" applyFont="1" applyBorder="1"/>
    <xf numFmtId="169" fontId="4" fillId="0" borderId="0" xfId="0" applyNumberFormat="1" applyFont="1" applyBorder="1"/>
    <xf numFmtId="169" fontId="6" fillId="0" borderId="0" xfId="0" applyNumberFormat="1" applyFont="1" applyBorder="1"/>
    <xf numFmtId="5" fontId="4" fillId="0" borderId="1" xfId="1" applyNumberFormat="1" applyFont="1" applyBorder="1"/>
    <xf numFmtId="5" fontId="4" fillId="0" borderId="0" xfId="1" applyNumberFormat="1" applyFont="1" applyBorder="1"/>
    <xf numFmtId="5" fontId="6" fillId="0" borderId="2" xfId="1" applyNumberFormat="1" applyFont="1" applyBorder="1"/>
    <xf numFmtId="5" fontId="0" fillId="0" borderId="0" xfId="1" applyNumberFormat="1" applyFont="1"/>
    <xf numFmtId="5" fontId="4" fillId="0" borderId="4" xfId="1" applyNumberFormat="1" applyFont="1" applyBorder="1"/>
    <xf numFmtId="5" fontId="6" fillId="0" borderId="1" xfId="1" applyNumberFormat="1" applyFont="1" applyBorder="1"/>
    <xf numFmtId="5" fontId="2" fillId="2" borderId="8" xfId="1" applyNumberFormat="1" applyFont="1" applyFill="1" applyBorder="1"/>
    <xf numFmtId="5" fontId="6" fillId="0" borderId="6" xfId="1" applyNumberFormat="1" applyFont="1" applyBorder="1"/>
    <xf numFmtId="5" fontId="4" fillId="0" borderId="6" xfId="1" applyNumberFormat="1" applyFont="1" applyBorder="1"/>
    <xf numFmtId="5" fontId="6" fillId="0" borderId="0" xfId="1" applyNumberFormat="1" applyFont="1" applyBorder="1"/>
    <xf numFmtId="5" fontId="0" fillId="0" borderId="4" xfId="0" applyNumberFormat="1" applyBorder="1"/>
    <xf numFmtId="5" fontId="0" fillId="0" borderId="6" xfId="0" applyNumberFormat="1" applyBorder="1"/>
    <xf numFmtId="5" fontId="2" fillId="2" borderId="4" xfId="0" applyNumberFormat="1" applyFont="1" applyFill="1" applyBorder="1"/>
    <xf numFmtId="5" fontId="5" fillId="0" borderId="6" xfId="0" applyNumberFormat="1" applyFont="1" applyBorder="1"/>
    <xf numFmtId="5" fontId="2" fillId="2" borderId="6" xfId="0" applyNumberFormat="1" applyFont="1" applyFill="1" applyBorder="1"/>
    <xf numFmtId="169" fontId="2" fillId="2" borderId="6" xfId="2" applyNumberFormat="1" applyFont="1" applyFill="1" applyBorder="1"/>
    <xf numFmtId="0" fontId="8" fillId="0" borderId="5" xfId="0" applyFont="1" applyBorder="1"/>
    <xf numFmtId="0" fontId="0" fillId="0" borderId="7" xfId="0" applyFont="1" applyBorder="1"/>
    <xf numFmtId="165" fontId="1" fillId="0" borderId="8" xfId="2" applyNumberFormat="1" applyFont="1" applyFill="1" applyBorder="1"/>
    <xf numFmtId="0" fontId="0" fillId="0" borderId="0" xfId="0" applyFill="1"/>
    <xf numFmtId="0" fontId="9" fillId="0" borderId="0" xfId="0" applyFont="1"/>
    <xf numFmtId="172" fontId="4" fillId="0" borderId="6" xfId="0" applyNumberFormat="1" applyFont="1" applyBorder="1"/>
    <xf numFmtId="37" fontId="2" fillId="2" borderId="8" xfId="1" applyNumberFormat="1" applyFont="1" applyFill="1" applyBorder="1"/>
    <xf numFmtId="6" fontId="2" fillId="0" borderId="2" xfId="0" applyNumberFormat="1" applyFont="1" applyFill="1" applyBorder="1"/>
    <xf numFmtId="37" fontId="4" fillId="0" borderId="0" xfId="0" applyNumberFormat="1" applyFont="1" applyBorder="1"/>
    <xf numFmtId="0" fontId="2" fillId="0" borderId="9" xfId="0" applyFont="1" applyBorder="1"/>
    <xf numFmtId="0" fontId="0" fillId="0" borderId="0" xfId="0" applyAlignment="1">
      <alignment horizontal="left"/>
    </xf>
    <xf numFmtId="7" fontId="2" fillId="2" borderId="8" xfId="0" applyNumberFormat="1" applyFont="1" applyFill="1" applyBorder="1"/>
    <xf numFmtId="169" fontId="4" fillId="0" borderId="1" xfId="0" applyNumberFormat="1" applyFont="1" applyBorder="1"/>
    <xf numFmtId="165" fontId="4" fillId="0" borderId="0" xfId="0" applyNumberFormat="1" applyFont="1" applyBorder="1"/>
    <xf numFmtId="9" fontId="4" fillId="0" borderId="4" xfId="0" applyNumberFormat="1" applyFont="1" applyBorder="1"/>
    <xf numFmtId="164" fontId="4" fillId="0" borderId="2" xfId="1" applyNumberFormat="1" applyFont="1" applyBorder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3"/>
  <sheetViews>
    <sheetView tabSelected="1" topLeftCell="A28" zoomScale="120" zoomScaleNormal="120" workbookViewId="0">
      <selection activeCell="H52" sqref="H52"/>
    </sheetView>
  </sheetViews>
  <sheetFormatPr defaultRowHeight="12.75" x14ac:dyDescent="0.2"/>
  <cols>
    <col min="2" max="2" width="30.42578125" bestFit="1" customWidth="1"/>
    <col min="3" max="3" width="11.85546875" bestFit="1" customWidth="1"/>
    <col min="4" max="4" width="14.5703125" bestFit="1" customWidth="1"/>
    <col min="5" max="5" width="25" bestFit="1" customWidth="1"/>
    <col min="6" max="6" width="11.140625" bestFit="1" customWidth="1"/>
    <col min="7" max="7" width="12.140625" bestFit="1" customWidth="1"/>
    <col min="8" max="8" width="12" bestFit="1" customWidth="1"/>
    <col min="9" max="9" width="11" bestFit="1" customWidth="1"/>
    <col min="13" max="13" width="9.7109375" customWidth="1"/>
  </cols>
  <sheetData>
    <row r="1" spans="1:8" ht="23.25" x14ac:dyDescent="0.35">
      <c r="B1" s="109" t="s">
        <v>152</v>
      </c>
    </row>
    <row r="3" spans="1:8" x14ac:dyDescent="0.2">
      <c r="A3" t="s">
        <v>39</v>
      </c>
      <c r="B3" s="5" t="s">
        <v>26</v>
      </c>
      <c r="C3" s="6">
        <v>200000</v>
      </c>
      <c r="G3" s="115" t="s">
        <v>39</v>
      </c>
      <c r="H3" t="s">
        <v>102</v>
      </c>
    </row>
    <row r="4" spans="1:8" x14ac:dyDescent="0.2">
      <c r="B4" s="7" t="s">
        <v>19</v>
      </c>
      <c r="C4" s="14">
        <v>50000000</v>
      </c>
      <c r="G4" s="115" t="s">
        <v>40</v>
      </c>
      <c r="H4" t="s">
        <v>103</v>
      </c>
    </row>
    <row r="5" spans="1:8" x14ac:dyDescent="0.2">
      <c r="B5" s="7" t="s">
        <v>25</v>
      </c>
      <c r="C5" s="14">
        <v>3000000</v>
      </c>
      <c r="G5" s="115" t="s">
        <v>42</v>
      </c>
      <c r="H5" t="s">
        <v>102</v>
      </c>
    </row>
    <row r="6" spans="1:8" x14ac:dyDescent="0.2">
      <c r="B6" s="28" t="s">
        <v>24</v>
      </c>
      <c r="C6" s="42">
        <f>C5/C4</f>
        <v>0.06</v>
      </c>
      <c r="G6" s="115" t="s">
        <v>43</v>
      </c>
      <c r="H6" t="s">
        <v>102</v>
      </c>
    </row>
    <row r="7" spans="1:8" x14ac:dyDescent="0.2">
      <c r="G7" s="115" t="s">
        <v>44</v>
      </c>
      <c r="H7" t="s">
        <v>105</v>
      </c>
    </row>
    <row r="8" spans="1:8" x14ac:dyDescent="0.2">
      <c r="A8" t="s">
        <v>40</v>
      </c>
      <c r="B8" s="5" t="s">
        <v>26</v>
      </c>
      <c r="C8" s="6">
        <v>100000</v>
      </c>
      <c r="G8" s="115" t="s">
        <v>48</v>
      </c>
      <c r="H8" t="s">
        <v>102</v>
      </c>
    </row>
    <row r="9" spans="1:8" x14ac:dyDescent="0.2">
      <c r="B9" s="7" t="s">
        <v>76</v>
      </c>
      <c r="C9" s="14">
        <v>60</v>
      </c>
      <c r="G9" s="115" t="s">
        <v>49</v>
      </c>
      <c r="H9" t="s">
        <v>105</v>
      </c>
    </row>
    <row r="10" spans="1:8" x14ac:dyDescent="0.2">
      <c r="B10" s="7" t="s">
        <v>77</v>
      </c>
      <c r="C10" s="65">
        <v>0.7</v>
      </c>
      <c r="G10" s="115" t="s">
        <v>106</v>
      </c>
      <c r="H10" t="s">
        <v>102</v>
      </c>
    </row>
    <row r="11" spans="1:8" x14ac:dyDescent="0.2">
      <c r="B11" s="7" t="s">
        <v>1</v>
      </c>
      <c r="C11" s="11">
        <f>C8*C9</f>
        <v>6000000</v>
      </c>
      <c r="G11" s="115" t="s">
        <v>83</v>
      </c>
      <c r="H11" t="s">
        <v>102</v>
      </c>
    </row>
    <row r="12" spans="1:8" x14ac:dyDescent="0.2">
      <c r="B12" s="7" t="s">
        <v>3</v>
      </c>
      <c r="C12" s="11">
        <f>C11*C10</f>
        <v>4200000</v>
      </c>
      <c r="G12" s="115" t="s">
        <v>119</v>
      </c>
      <c r="H12" t="s">
        <v>107</v>
      </c>
    </row>
    <row r="13" spans="1:8" x14ac:dyDescent="0.2">
      <c r="B13" s="13" t="s">
        <v>78</v>
      </c>
      <c r="C13" s="85">
        <f>C11-C12</f>
        <v>1800000</v>
      </c>
      <c r="G13" s="115" t="s">
        <v>120</v>
      </c>
      <c r="H13" t="s">
        <v>103</v>
      </c>
    </row>
    <row r="14" spans="1:8" x14ac:dyDescent="0.2">
      <c r="G14" s="115" t="s">
        <v>51</v>
      </c>
      <c r="H14" t="s">
        <v>102</v>
      </c>
    </row>
    <row r="15" spans="1:8" x14ac:dyDescent="0.2">
      <c r="A15" t="s">
        <v>42</v>
      </c>
      <c r="B15" s="5" t="s">
        <v>17</v>
      </c>
      <c r="C15" s="40">
        <v>0.1</v>
      </c>
      <c r="D15" s="23"/>
      <c r="E15" s="25"/>
      <c r="G15" s="115" t="s">
        <v>58</v>
      </c>
      <c r="H15" t="s">
        <v>105</v>
      </c>
    </row>
    <row r="16" spans="1:8" x14ac:dyDescent="0.2">
      <c r="B16" s="7" t="s">
        <v>18</v>
      </c>
      <c r="D16" s="2">
        <v>100</v>
      </c>
      <c r="E16" s="27">
        <f>D16*(1+C15)</f>
        <v>110.00000000000001</v>
      </c>
      <c r="G16" s="115" t="s">
        <v>59</v>
      </c>
      <c r="H16" t="s">
        <v>103</v>
      </c>
    </row>
    <row r="17" spans="1:8" x14ac:dyDescent="0.2">
      <c r="B17" s="7" t="s">
        <v>82</v>
      </c>
      <c r="C17" s="51">
        <v>0.8</v>
      </c>
      <c r="D17">
        <f>$C$17*D16</f>
        <v>80</v>
      </c>
      <c r="E17" s="27">
        <f>D17</f>
        <v>80</v>
      </c>
      <c r="G17" s="115" t="s">
        <v>60</v>
      </c>
      <c r="H17" t="s">
        <v>107</v>
      </c>
    </row>
    <row r="18" spans="1:8" x14ac:dyDescent="0.2">
      <c r="B18" s="7" t="s">
        <v>2</v>
      </c>
      <c r="D18">
        <f>D16-D17</f>
        <v>20</v>
      </c>
      <c r="E18" s="27">
        <f t="shared" ref="E18" si="0">E16-E17</f>
        <v>30.000000000000014</v>
      </c>
      <c r="G18" s="115" t="s">
        <v>114</v>
      </c>
      <c r="H18" t="s">
        <v>102</v>
      </c>
    </row>
    <row r="19" spans="1:8" x14ac:dyDescent="0.2">
      <c r="B19" s="13" t="s">
        <v>88</v>
      </c>
      <c r="C19" s="29"/>
      <c r="D19" s="41"/>
      <c r="E19" s="42">
        <f>E18/D18-1</f>
        <v>0.50000000000000067</v>
      </c>
      <c r="G19" s="115" t="s">
        <v>121</v>
      </c>
      <c r="H19" t="s">
        <v>103</v>
      </c>
    </row>
    <row r="20" spans="1:8" x14ac:dyDescent="0.2">
      <c r="B20" s="77"/>
      <c r="C20" s="73"/>
      <c r="D20" s="77"/>
      <c r="E20" s="81"/>
      <c r="G20" s="115" t="s">
        <v>61</v>
      </c>
      <c r="H20" t="s">
        <v>107</v>
      </c>
    </row>
    <row r="21" spans="1:8" x14ac:dyDescent="0.2">
      <c r="A21" t="s">
        <v>43</v>
      </c>
      <c r="B21" s="5" t="s">
        <v>104</v>
      </c>
      <c r="C21" s="40"/>
      <c r="D21" s="40">
        <v>0.4</v>
      </c>
      <c r="E21" s="25"/>
      <c r="G21" s="115" t="s">
        <v>62</v>
      </c>
      <c r="H21" t="s">
        <v>102</v>
      </c>
    </row>
    <row r="22" spans="1:8" x14ac:dyDescent="0.2">
      <c r="B22" s="7" t="s">
        <v>18</v>
      </c>
      <c r="D22" s="87">
        <v>10000000</v>
      </c>
      <c r="E22" s="14">
        <f>D22*(1+D21)</f>
        <v>14000000</v>
      </c>
      <c r="G22" s="115" t="s">
        <v>122</v>
      </c>
      <c r="H22" t="s">
        <v>105</v>
      </c>
    </row>
    <row r="23" spans="1:8" x14ac:dyDescent="0.2">
      <c r="B23" s="7" t="s">
        <v>82</v>
      </c>
      <c r="C23" s="51">
        <v>0.75</v>
      </c>
      <c r="D23" s="88">
        <f>$C$23*D22</f>
        <v>7500000</v>
      </c>
      <c r="E23" s="86">
        <f>D23</f>
        <v>7500000</v>
      </c>
      <c r="G23" s="115" t="s">
        <v>97</v>
      </c>
      <c r="H23" t="s">
        <v>107</v>
      </c>
    </row>
    <row r="24" spans="1:8" x14ac:dyDescent="0.2">
      <c r="B24" s="105" t="s">
        <v>2</v>
      </c>
      <c r="D24" s="88">
        <f>D22-D23</f>
        <v>2500000</v>
      </c>
      <c r="E24" s="104">
        <f t="shared" ref="E24" si="1">E22-E23</f>
        <v>6500000</v>
      </c>
      <c r="G24" s="115" t="s">
        <v>98</v>
      </c>
      <c r="H24" t="s">
        <v>107</v>
      </c>
    </row>
    <row r="25" spans="1:8" x14ac:dyDescent="0.2">
      <c r="B25" s="106" t="s">
        <v>88</v>
      </c>
      <c r="C25" s="29"/>
      <c r="D25" s="41"/>
      <c r="E25" s="107">
        <f>E24/D24-1</f>
        <v>1.6</v>
      </c>
      <c r="G25" s="115" t="s">
        <v>99</v>
      </c>
      <c r="H25" t="s">
        <v>105</v>
      </c>
    </row>
    <row r="26" spans="1:8" x14ac:dyDescent="0.2">
      <c r="G26" s="115" t="s">
        <v>100</v>
      </c>
      <c r="H26" t="s">
        <v>102</v>
      </c>
    </row>
    <row r="27" spans="1:8" x14ac:dyDescent="0.2">
      <c r="A27" t="s">
        <v>44</v>
      </c>
      <c r="B27" s="5" t="s">
        <v>34</v>
      </c>
      <c r="C27" s="55">
        <v>1.4</v>
      </c>
      <c r="G27" s="115" t="s">
        <v>101</v>
      </c>
      <c r="H27" t="s">
        <v>102</v>
      </c>
    </row>
    <row r="28" spans="1:8" x14ac:dyDescent="0.2">
      <c r="B28" s="7" t="s">
        <v>25</v>
      </c>
      <c r="C28" s="14">
        <v>70000</v>
      </c>
      <c r="G28" s="115" t="s">
        <v>115</v>
      </c>
      <c r="H28" s="108" t="s">
        <v>105</v>
      </c>
    </row>
    <row r="29" spans="1:8" x14ac:dyDescent="0.2">
      <c r="B29" s="13" t="s">
        <v>63</v>
      </c>
      <c r="C29" s="85">
        <f>C28/C27</f>
        <v>50000</v>
      </c>
      <c r="G29" s="115" t="s">
        <v>108</v>
      </c>
      <c r="H29" t="s">
        <v>102</v>
      </c>
    </row>
    <row r="30" spans="1:8" x14ac:dyDescent="0.2">
      <c r="G30" s="115" t="s">
        <v>116</v>
      </c>
      <c r="H30" t="s">
        <v>105</v>
      </c>
    </row>
    <row r="31" spans="1:8" x14ac:dyDescent="0.2">
      <c r="A31" t="s">
        <v>48</v>
      </c>
      <c r="B31" s="5" t="s">
        <v>19</v>
      </c>
      <c r="C31" s="15">
        <v>9000000</v>
      </c>
      <c r="G31" s="115" t="s">
        <v>123</v>
      </c>
      <c r="H31" t="s">
        <v>103</v>
      </c>
    </row>
    <row r="32" spans="1:8" x14ac:dyDescent="0.2">
      <c r="B32" s="7" t="s">
        <v>20</v>
      </c>
      <c r="C32" s="14">
        <v>1500000</v>
      </c>
      <c r="G32" s="115" t="s">
        <v>124</v>
      </c>
      <c r="H32" t="s">
        <v>102</v>
      </c>
    </row>
    <row r="33" spans="1:8" x14ac:dyDescent="0.2">
      <c r="B33" s="7" t="s">
        <v>41</v>
      </c>
      <c r="C33" s="16">
        <f>C31-C32</f>
        <v>7500000</v>
      </c>
      <c r="G33" s="115" t="s">
        <v>125</v>
      </c>
      <c r="H33" t="s">
        <v>105</v>
      </c>
    </row>
    <row r="34" spans="1:8" x14ac:dyDescent="0.2">
      <c r="B34" s="7" t="s">
        <v>66</v>
      </c>
      <c r="C34" s="8">
        <v>25</v>
      </c>
      <c r="G34" s="115" t="s">
        <v>117</v>
      </c>
      <c r="H34" t="s">
        <v>107</v>
      </c>
    </row>
    <row r="35" spans="1:8" x14ac:dyDescent="0.2">
      <c r="B35" s="7" t="s">
        <v>5</v>
      </c>
      <c r="C35" s="10">
        <v>4.7500000000000001E-2</v>
      </c>
      <c r="G35" s="115" t="s">
        <v>126</v>
      </c>
      <c r="H35" t="s">
        <v>105</v>
      </c>
    </row>
    <row r="36" spans="1:8" x14ac:dyDescent="0.2">
      <c r="B36" s="13" t="s">
        <v>23</v>
      </c>
      <c r="C36" s="116">
        <f>-PMT(C35/12,C34*12,C33)</f>
        <v>42758.802103581671</v>
      </c>
      <c r="G36" s="115" t="s">
        <v>127</v>
      </c>
      <c r="H36" t="s">
        <v>103</v>
      </c>
    </row>
    <row r="37" spans="1:8" x14ac:dyDescent="0.2">
      <c r="G37" s="115" t="s">
        <v>128</v>
      </c>
      <c r="H37" t="s">
        <v>103</v>
      </c>
    </row>
    <row r="38" spans="1:8" x14ac:dyDescent="0.2">
      <c r="A38" t="s">
        <v>49</v>
      </c>
      <c r="B38" s="5" t="s">
        <v>19</v>
      </c>
      <c r="C38" s="15">
        <v>9000000</v>
      </c>
      <c r="G38" s="115" t="s">
        <v>129</v>
      </c>
      <c r="H38" t="s">
        <v>103</v>
      </c>
    </row>
    <row r="39" spans="1:8" x14ac:dyDescent="0.2">
      <c r="B39" s="7" t="s">
        <v>20</v>
      </c>
      <c r="C39" s="14">
        <v>1500000</v>
      </c>
      <c r="G39" s="115" t="s">
        <v>130</v>
      </c>
      <c r="H39" t="s">
        <v>105</v>
      </c>
    </row>
    <row r="40" spans="1:8" x14ac:dyDescent="0.2">
      <c r="B40" s="7" t="s">
        <v>41</v>
      </c>
      <c r="C40" s="16">
        <f>C38-C39</f>
        <v>7500000</v>
      </c>
      <c r="G40" s="115" t="s">
        <v>131</v>
      </c>
      <c r="H40" t="s">
        <v>107</v>
      </c>
    </row>
    <row r="41" spans="1:8" x14ac:dyDescent="0.2">
      <c r="B41" s="7" t="s">
        <v>5</v>
      </c>
      <c r="C41" s="10">
        <v>4.7500000000000001E-2</v>
      </c>
      <c r="G41" s="115" t="s">
        <v>132</v>
      </c>
      <c r="H41" t="s">
        <v>105</v>
      </c>
    </row>
    <row r="42" spans="1:8" x14ac:dyDescent="0.2">
      <c r="B42" s="7" t="s">
        <v>66</v>
      </c>
      <c r="C42" s="8">
        <v>25</v>
      </c>
      <c r="G42" s="115" t="s">
        <v>133</v>
      </c>
      <c r="H42" t="s">
        <v>103</v>
      </c>
    </row>
    <row r="43" spans="1:8" x14ac:dyDescent="0.2">
      <c r="B43" s="7" t="s">
        <v>6</v>
      </c>
      <c r="C43" s="17">
        <f>-PMT(C41/12,C42*12,C40)</f>
        <v>42758.802103581671</v>
      </c>
      <c r="G43" s="115" t="s">
        <v>134</v>
      </c>
      <c r="H43" t="s">
        <v>103</v>
      </c>
    </row>
    <row r="44" spans="1:8" x14ac:dyDescent="0.2">
      <c r="B44" s="7" t="s">
        <v>35</v>
      </c>
      <c r="C44" s="17">
        <f>C40*C41/12</f>
        <v>29687.5</v>
      </c>
      <c r="E44" s="67"/>
      <c r="G44" s="115" t="s">
        <v>135</v>
      </c>
      <c r="H44" t="s">
        <v>102</v>
      </c>
    </row>
    <row r="45" spans="1:8" x14ac:dyDescent="0.2">
      <c r="B45" s="13" t="s">
        <v>36</v>
      </c>
      <c r="C45" s="32">
        <f>C43-C44</f>
        <v>13071.302103581671</v>
      </c>
      <c r="D45" s="66"/>
      <c r="E45" s="68"/>
      <c r="G45" s="115" t="s">
        <v>136</v>
      </c>
      <c r="H45" t="s">
        <v>107</v>
      </c>
    </row>
    <row r="46" spans="1:8" x14ac:dyDescent="0.2">
      <c r="B46" s="114"/>
      <c r="C46" s="82"/>
      <c r="G46" s="115" t="s">
        <v>137</v>
      </c>
      <c r="H46" t="s">
        <v>103</v>
      </c>
    </row>
    <row r="47" spans="1:8" x14ac:dyDescent="0.2">
      <c r="A47" t="s">
        <v>106</v>
      </c>
      <c r="B47" s="5" t="s">
        <v>26</v>
      </c>
      <c r="C47" s="6">
        <v>5400</v>
      </c>
      <c r="G47" s="115" t="s">
        <v>138</v>
      </c>
      <c r="H47" t="s">
        <v>102</v>
      </c>
    </row>
    <row r="48" spans="1:8" x14ac:dyDescent="0.2">
      <c r="B48" s="7" t="s">
        <v>19</v>
      </c>
      <c r="C48" s="14">
        <v>4000000</v>
      </c>
      <c r="G48" s="115" t="s">
        <v>139</v>
      </c>
      <c r="H48" t="s">
        <v>103</v>
      </c>
    </row>
    <row r="49" spans="1:8" x14ac:dyDescent="0.2">
      <c r="B49" s="7" t="s">
        <v>4</v>
      </c>
      <c r="C49" s="14">
        <v>3600000</v>
      </c>
      <c r="G49" s="115" t="s">
        <v>140</v>
      </c>
      <c r="H49" t="s">
        <v>103</v>
      </c>
    </row>
    <row r="50" spans="1:8" x14ac:dyDescent="0.2">
      <c r="B50" s="7" t="s">
        <v>66</v>
      </c>
      <c r="C50" s="8">
        <v>30</v>
      </c>
      <c r="E50" s="4"/>
      <c r="G50" s="115" t="s">
        <v>141</v>
      </c>
      <c r="H50" t="s">
        <v>102</v>
      </c>
    </row>
    <row r="51" spans="1:8" x14ac:dyDescent="0.2">
      <c r="B51" s="7" t="s">
        <v>5</v>
      </c>
      <c r="C51" s="10">
        <v>4.2500000000000003E-2</v>
      </c>
      <c r="G51" s="115" t="s">
        <v>142</v>
      </c>
      <c r="H51" t="s">
        <v>107</v>
      </c>
    </row>
    <row r="52" spans="1:8" x14ac:dyDescent="0.2">
      <c r="B52" s="7" t="s">
        <v>23</v>
      </c>
      <c r="C52" s="19">
        <f>-PMT(C51/12,C50*12,C49)</f>
        <v>17709.836078861412</v>
      </c>
      <c r="G52" s="115" t="s">
        <v>143</v>
      </c>
      <c r="H52" t="s">
        <v>102</v>
      </c>
    </row>
    <row r="53" spans="1:8" x14ac:dyDescent="0.2">
      <c r="B53" s="7" t="s">
        <v>67</v>
      </c>
      <c r="C53" s="8">
        <v>8</v>
      </c>
    </row>
    <row r="54" spans="1:8" x14ac:dyDescent="0.2">
      <c r="B54" s="13" t="str">
        <f>"Future Value at year " &amp; C53</f>
        <v>Future Value at year 8</v>
      </c>
      <c r="C54" s="33">
        <f>FV(C51/12,C53*12,C52,-C49)</f>
        <v>3034083.0202721152</v>
      </c>
    </row>
    <row r="55" spans="1:8" x14ac:dyDescent="0.2">
      <c r="B55" s="114"/>
      <c r="C55" s="83"/>
    </row>
    <row r="56" spans="1:8" x14ac:dyDescent="0.2">
      <c r="A56" t="s">
        <v>83</v>
      </c>
      <c r="B56" s="5" t="s">
        <v>7</v>
      </c>
      <c r="C56" s="117">
        <v>36000000</v>
      </c>
      <c r="D56" s="23"/>
      <c r="E56" s="24" t="s">
        <v>12</v>
      </c>
      <c r="F56" s="25"/>
    </row>
    <row r="57" spans="1:8" x14ac:dyDescent="0.2">
      <c r="B57" s="61" t="s">
        <v>8</v>
      </c>
      <c r="E57" t="s">
        <v>11</v>
      </c>
      <c r="F57" s="26">
        <f>C65-C59</f>
        <v>1800000</v>
      </c>
    </row>
    <row r="58" spans="1:8" x14ac:dyDescent="0.2">
      <c r="B58" s="7" t="s">
        <v>0</v>
      </c>
      <c r="C58" s="18">
        <v>0.7</v>
      </c>
      <c r="E58" t="s">
        <v>10</v>
      </c>
      <c r="F58" s="26">
        <f>C68-C62</f>
        <v>21632.70368322474</v>
      </c>
    </row>
    <row r="59" spans="1:8" x14ac:dyDescent="0.2">
      <c r="B59" s="7" t="s">
        <v>4</v>
      </c>
      <c r="C59" s="88">
        <f>$C$56*C58</f>
        <v>25200000</v>
      </c>
      <c r="E59" s="12" t="s">
        <v>12</v>
      </c>
      <c r="F59" s="31">
        <f>12*RATE(C66*12,-F58,F57)</f>
        <v>0.139745894061096</v>
      </c>
      <c r="H59" s="121"/>
    </row>
    <row r="60" spans="1:8" x14ac:dyDescent="0.2">
      <c r="B60" s="7" t="s">
        <v>66</v>
      </c>
      <c r="C60" s="2">
        <v>25</v>
      </c>
      <c r="F60" s="27"/>
    </row>
    <row r="61" spans="1:8" x14ac:dyDescent="0.2">
      <c r="B61" s="7" t="s">
        <v>81</v>
      </c>
      <c r="C61" s="3">
        <v>0.06</v>
      </c>
      <c r="F61" s="27" t="s">
        <v>109</v>
      </c>
    </row>
    <row r="62" spans="1:8" x14ac:dyDescent="0.2">
      <c r="B62" s="7" t="s">
        <v>6</v>
      </c>
      <c r="C62" s="88">
        <f>-PMT(C61/12,C60*12,C59)</f>
        <v>162363.95317434816</v>
      </c>
      <c r="F62" s="27"/>
    </row>
    <row r="63" spans="1:8" x14ac:dyDescent="0.2">
      <c r="B63" s="61" t="s">
        <v>9</v>
      </c>
      <c r="F63" s="27"/>
    </row>
    <row r="64" spans="1:8" x14ac:dyDescent="0.2">
      <c r="B64" s="7" t="s">
        <v>0</v>
      </c>
      <c r="C64" s="18">
        <v>0.75</v>
      </c>
      <c r="F64" s="27"/>
    </row>
    <row r="65" spans="1:6" x14ac:dyDescent="0.2">
      <c r="B65" s="7" t="s">
        <v>4</v>
      </c>
      <c r="C65" s="88">
        <f>$C$56*C64</f>
        <v>27000000</v>
      </c>
      <c r="F65" s="27"/>
    </row>
    <row r="66" spans="1:6" x14ac:dyDescent="0.2">
      <c r="B66" s="7" t="s">
        <v>66</v>
      </c>
      <c r="C66" s="2">
        <v>25</v>
      </c>
      <c r="F66" s="27"/>
    </row>
    <row r="67" spans="1:6" x14ac:dyDescent="0.2">
      <c r="B67" s="7" t="s">
        <v>81</v>
      </c>
      <c r="C67" s="3">
        <v>6.6000000000000003E-2</v>
      </c>
      <c r="F67" s="27"/>
    </row>
    <row r="68" spans="1:6" x14ac:dyDescent="0.2">
      <c r="B68" s="28" t="s">
        <v>6</v>
      </c>
      <c r="C68" s="112">
        <f>-PMT(C67/12,C66*12,C65)</f>
        <v>183996.6568575729</v>
      </c>
      <c r="D68" s="29"/>
      <c r="E68" s="29"/>
      <c r="F68" s="30"/>
    </row>
    <row r="70" spans="1:6" x14ac:dyDescent="0.2">
      <c r="A70" t="s">
        <v>51</v>
      </c>
      <c r="B70" s="5" t="s">
        <v>19</v>
      </c>
      <c r="C70" s="15">
        <v>1500000</v>
      </c>
    </row>
    <row r="71" spans="1:6" x14ac:dyDescent="0.2">
      <c r="B71" s="7" t="s">
        <v>4</v>
      </c>
      <c r="C71" s="14">
        <v>1200000</v>
      </c>
    </row>
    <row r="72" spans="1:6" x14ac:dyDescent="0.2">
      <c r="B72" s="7" t="s">
        <v>20</v>
      </c>
      <c r="C72" s="86">
        <f>+C70-C71</f>
        <v>300000</v>
      </c>
    </row>
    <row r="73" spans="1:6" x14ac:dyDescent="0.2">
      <c r="B73" s="7" t="s">
        <v>66</v>
      </c>
      <c r="C73" s="8">
        <v>30</v>
      </c>
    </row>
    <row r="74" spans="1:6" x14ac:dyDescent="0.2">
      <c r="B74" s="7" t="s">
        <v>5</v>
      </c>
      <c r="C74" s="110">
        <v>4.1250000000000002E-2</v>
      </c>
    </row>
    <row r="75" spans="1:6" x14ac:dyDescent="0.2">
      <c r="B75" s="13" t="s">
        <v>23</v>
      </c>
      <c r="C75" s="34">
        <f>-PMT(C74/12,C73*12,C71)</f>
        <v>5815.7967899760306</v>
      </c>
    </row>
    <row r="77" spans="1:6" x14ac:dyDescent="0.2">
      <c r="A77" t="s">
        <v>58</v>
      </c>
      <c r="B77" s="5" t="s">
        <v>19</v>
      </c>
      <c r="C77" s="89">
        <v>1500000</v>
      </c>
      <c r="D77" s="23"/>
      <c r="E77" s="23" t="s">
        <v>23</v>
      </c>
      <c r="F77" s="78">
        <f>-PMT(C80/12,C79*12,C78)</f>
        <v>5815.7967899760306</v>
      </c>
    </row>
    <row r="78" spans="1:6" x14ac:dyDescent="0.2">
      <c r="B78" s="7" t="s">
        <v>4</v>
      </c>
      <c r="C78" s="90">
        <v>1200000</v>
      </c>
      <c r="D78" s="73"/>
      <c r="E78" s="77" t="s">
        <v>94</v>
      </c>
      <c r="F78" s="79">
        <f>12*RATE(C79*12,-F77,C83)</f>
        <v>4.1249999999999502E-2</v>
      </c>
    </row>
    <row r="79" spans="1:6" x14ac:dyDescent="0.2">
      <c r="B79" s="7" t="s">
        <v>66</v>
      </c>
      <c r="C79" s="72">
        <v>30</v>
      </c>
      <c r="D79" s="73"/>
      <c r="E79" s="73"/>
      <c r="F79" s="27"/>
    </row>
    <row r="80" spans="1:6" x14ac:dyDescent="0.2">
      <c r="B80" s="7" t="s">
        <v>90</v>
      </c>
      <c r="C80" s="74">
        <v>4.1250000000000002E-2</v>
      </c>
      <c r="D80" s="73"/>
      <c r="E80" s="73"/>
      <c r="F80" s="27"/>
    </row>
    <row r="81" spans="1:6" x14ac:dyDescent="0.2">
      <c r="B81" s="7" t="s">
        <v>91</v>
      </c>
      <c r="C81" s="75">
        <v>0</v>
      </c>
      <c r="D81" s="73"/>
      <c r="E81" s="73"/>
      <c r="F81" s="27"/>
    </row>
    <row r="82" spans="1:6" x14ac:dyDescent="0.2">
      <c r="B82" s="7" t="s">
        <v>92</v>
      </c>
      <c r="C82" s="90">
        <v>0</v>
      </c>
      <c r="D82" s="73"/>
      <c r="E82" s="73"/>
      <c r="F82" s="27"/>
    </row>
    <row r="83" spans="1:6" x14ac:dyDescent="0.2">
      <c r="B83" s="76" t="s">
        <v>93</v>
      </c>
      <c r="C83" s="91">
        <f>C78-C82-(C78*C81)</f>
        <v>1200000</v>
      </c>
      <c r="D83" s="29"/>
      <c r="E83" s="29"/>
      <c r="F83" s="30"/>
    </row>
    <row r="85" spans="1:6" x14ac:dyDescent="0.2">
      <c r="A85" t="s">
        <v>59</v>
      </c>
      <c r="B85" s="5" t="s">
        <v>19</v>
      </c>
      <c r="C85" s="89">
        <v>1500000</v>
      </c>
      <c r="D85" s="23"/>
      <c r="E85" s="23" t="s">
        <v>23</v>
      </c>
      <c r="F85" s="78">
        <f>-PMT(C88/12,C87*12,C86)</f>
        <v>5815.7967899760306</v>
      </c>
    </row>
    <row r="86" spans="1:6" x14ac:dyDescent="0.2">
      <c r="B86" s="7" t="s">
        <v>4</v>
      </c>
      <c r="C86" s="90">
        <v>1200000</v>
      </c>
      <c r="D86" s="73"/>
      <c r="E86" s="77" t="s">
        <v>94</v>
      </c>
      <c r="F86" s="79">
        <f>12*RATE(C87*12,-F85,C91)</f>
        <v>4.2175180820606284E-2</v>
      </c>
    </row>
    <row r="87" spans="1:6" x14ac:dyDescent="0.2">
      <c r="B87" s="7" t="s">
        <v>66</v>
      </c>
      <c r="C87" s="72">
        <v>30</v>
      </c>
      <c r="D87" s="73"/>
      <c r="E87" s="73"/>
      <c r="F87" s="27"/>
    </row>
    <row r="88" spans="1:6" x14ac:dyDescent="0.2">
      <c r="B88" s="7" t="s">
        <v>90</v>
      </c>
      <c r="C88" s="74">
        <v>4.1250000000000002E-2</v>
      </c>
      <c r="D88" s="73"/>
      <c r="E88" s="73"/>
      <c r="F88" s="27"/>
    </row>
    <row r="89" spans="1:6" x14ac:dyDescent="0.2">
      <c r="B89" s="7" t="s">
        <v>91</v>
      </c>
      <c r="C89" s="118">
        <v>0.01</v>
      </c>
      <c r="D89" s="73"/>
      <c r="E89" s="73"/>
      <c r="F89" s="27"/>
    </row>
    <row r="90" spans="1:6" x14ac:dyDescent="0.2">
      <c r="B90" s="7" t="s">
        <v>92</v>
      </c>
      <c r="C90" s="90">
        <v>1200</v>
      </c>
      <c r="D90" s="73"/>
      <c r="E90" s="73"/>
      <c r="F90" s="27"/>
    </row>
    <row r="91" spans="1:6" x14ac:dyDescent="0.2">
      <c r="B91" s="76" t="s">
        <v>93</v>
      </c>
      <c r="C91" s="91">
        <f>C86-(C86*C89)-C90</f>
        <v>1186800</v>
      </c>
      <c r="D91" s="29"/>
      <c r="E91" s="29"/>
      <c r="F91" s="30"/>
    </row>
    <row r="93" spans="1:6" x14ac:dyDescent="0.2">
      <c r="A93" t="s">
        <v>60</v>
      </c>
      <c r="B93" s="5" t="s">
        <v>19</v>
      </c>
      <c r="C93" s="89">
        <v>1500000</v>
      </c>
      <c r="D93" s="23"/>
      <c r="E93" s="23" t="s">
        <v>23</v>
      </c>
      <c r="F93" s="78">
        <f>-PMT(C96/12,C95*12,C94)</f>
        <v>5815.7967899760306</v>
      </c>
    </row>
    <row r="94" spans="1:6" x14ac:dyDescent="0.2">
      <c r="B94" s="7" t="s">
        <v>4</v>
      </c>
      <c r="C94" s="90">
        <v>1200000</v>
      </c>
      <c r="D94" s="73"/>
      <c r="E94" s="73" t="s">
        <v>95</v>
      </c>
      <c r="F94" s="53">
        <v>10</v>
      </c>
    </row>
    <row r="95" spans="1:6" x14ac:dyDescent="0.2">
      <c r="B95" s="7" t="s">
        <v>66</v>
      </c>
      <c r="C95" s="72">
        <v>30</v>
      </c>
      <c r="D95" s="73"/>
      <c r="E95" s="77" t="s">
        <v>96</v>
      </c>
      <c r="F95" s="80">
        <f>-FV(C96/12,F94*12,-F93,C94)</f>
        <v>949382.65596184821</v>
      </c>
    </row>
    <row r="96" spans="1:6" x14ac:dyDescent="0.2">
      <c r="B96" s="7" t="s">
        <v>90</v>
      </c>
      <c r="C96" s="74">
        <v>4.1250000000000002E-2</v>
      </c>
      <c r="D96" s="73"/>
      <c r="E96" s="73"/>
      <c r="F96" s="27"/>
    </row>
    <row r="97" spans="1:6" x14ac:dyDescent="0.2">
      <c r="B97" s="7" t="s">
        <v>91</v>
      </c>
      <c r="C97" s="75">
        <v>0</v>
      </c>
      <c r="D97" s="73"/>
      <c r="E97" s="73"/>
      <c r="F97" s="27"/>
    </row>
    <row r="98" spans="1:6" x14ac:dyDescent="0.2">
      <c r="B98" s="7" t="s">
        <v>92</v>
      </c>
      <c r="C98" s="90">
        <v>0</v>
      </c>
      <c r="D98" s="73"/>
      <c r="E98" s="73"/>
      <c r="F98" s="27"/>
    </row>
    <row r="99" spans="1:6" x14ac:dyDescent="0.2">
      <c r="B99" s="76" t="s">
        <v>93</v>
      </c>
      <c r="C99" s="91">
        <f>C94-C98-(C94*C97)</f>
        <v>1200000</v>
      </c>
      <c r="D99" s="29"/>
      <c r="E99" s="29"/>
      <c r="F99" s="30"/>
    </row>
    <row r="101" spans="1:6" x14ac:dyDescent="0.2">
      <c r="A101" t="s">
        <v>114</v>
      </c>
      <c r="B101" s="5" t="s">
        <v>19</v>
      </c>
      <c r="C101" s="89">
        <v>1200000</v>
      </c>
      <c r="D101" s="23"/>
      <c r="E101" s="24" t="s">
        <v>12</v>
      </c>
      <c r="F101" s="25"/>
    </row>
    <row r="102" spans="1:6" x14ac:dyDescent="0.2">
      <c r="B102" s="7" t="s">
        <v>66</v>
      </c>
      <c r="C102" s="2">
        <v>30</v>
      </c>
      <c r="E102" t="s">
        <v>11</v>
      </c>
      <c r="F102" s="11">
        <f>C106-C111</f>
        <v>120000</v>
      </c>
    </row>
    <row r="103" spans="1:6" x14ac:dyDescent="0.2">
      <c r="B103" s="61" t="s">
        <v>21</v>
      </c>
      <c r="E103" t="s">
        <v>10</v>
      </c>
      <c r="F103" s="26">
        <f>C107-C112</f>
        <v>1321.6580907331909</v>
      </c>
    </row>
    <row r="104" spans="1:6" x14ac:dyDescent="0.2">
      <c r="B104" s="7" t="s">
        <v>20</v>
      </c>
      <c r="C104" s="18">
        <v>0.1</v>
      </c>
      <c r="E104" s="12" t="s">
        <v>12</v>
      </c>
      <c r="F104" s="31">
        <f>12*RATE(C102*12,-F103,F102)</f>
        <v>0.12938335749271024</v>
      </c>
    </row>
    <row r="105" spans="1:6" x14ac:dyDescent="0.2">
      <c r="B105" s="7" t="s">
        <v>81</v>
      </c>
      <c r="C105" s="3">
        <v>0.06</v>
      </c>
      <c r="F105" s="27"/>
    </row>
    <row r="106" spans="1:6" x14ac:dyDescent="0.2">
      <c r="B106" s="7" t="s">
        <v>4</v>
      </c>
      <c r="C106" s="92">
        <f>$C$101*(1-C104)</f>
        <v>1080000</v>
      </c>
      <c r="F106" s="27"/>
    </row>
    <row r="107" spans="1:6" x14ac:dyDescent="0.2">
      <c r="B107" s="7" t="s">
        <v>23</v>
      </c>
      <c r="C107" s="4">
        <f>-PMT(C105/12,$C$102*12,C106)</f>
        <v>6475.145671649726</v>
      </c>
      <c r="F107" s="27"/>
    </row>
    <row r="108" spans="1:6" x14ac:dyDescent="0.2">
      <c r="B108" s="61" t="s">
        <v>22</v>
      </c>
      <c r="F108" s="27"/>
    </row>
    <row r="109" spans="1:6" x14ac:dyDescent="0.2">
      <c r="B109" s="7" t="s">
        <v>20</v>
      </c>
      <c r="C109" s="18">
        <v>0.2</v>
      </c>
      <c r="F109" s="27"/>
    </row>
    <row r="110" spans="1:6" x14ac:dyDescent="0.2">
      <c r="B110" s="7" t="s">
        <v>81</v>
      </c>
      <c r="C110" s="3">
        <v>0.05</v>
      </c>
      <c r="F110" s="27"/>
    </row>
    <row r="111" spans="1:6" x14ac:dyDescent="0.2">
      <c r="B111" s="7" t="s">
        <v>4</v>
      </c>
      <c r="C111" s="92">
        <f>$C$101*(1-C109)</f>
        <v>960000</v>
      </c>
      <c r="F111" s="27"/>
    </row>
    <row r="112" spans="1:6" x14ac:dyDescent="0.2">
      <c r="B112" s="28" t="s">
        <v>23</v>
      </c>
      <c r="C112" s="49">
        <f>-PMT(C110/12,$C$102*12,C111)</f>
        <v>5153.4875809165351</v>
      </c>
      <c r="D112" s="29"/>
      <c r="E112" s="29"/>
      <c r="F112" s="30"/>
    </row>
    <row r="114" spans="1:6" ht="12" customHeight="1" x14ac:dyDescent="0.2">
      <c r="A114" t="s">
        <v>61</v>
      </c>
      <c r="B114" s="5" t="s">
        <v>4</v>
      </c>
      <c r="C114" s="89">
        <v>18000000</v>
      </c>
      <c r="D114" s="23"/>
      <c r="E114" s="23" t="s">
        <v>13</v>
      </c>
      <c r="F114" s="36">
        <f>C116+C117</f>
        <v>3.2500000000000001E-2</v>
      </c>
    </row>
    <row r="115" spans="1:6" ht="12" customHeight="1" x14ac:dyDescent="0.2">
      <c r="B115" s="7" t="s">
        <v>70</v>
      </c>
      <c r="C115" s="35">
        <v>1.4999999999999999E-2</v>
      </c>
      <c r="E115" t="s">
        <v>14</v>
      </c>
      <c r="F115" s="37">
        <f>C115+C118*C120</f>
        <v>1.4999999999999999E-2</v>
      </c>
    </row>
    <row r="116" spans="1:6" ht="12" customHeight="1" x14ac:dyDescent="0.2">
      <c r="B116" s="7" t="s">
        <v>69</v>
      </c>
      <c r="C116" s="35">
        <v>0.01</v>
      </c>
      <c r="E116" t="s">
        <v>16</v>
      </c>
      <c r="F116" s="37">
        <f>C115+C119</f>
        <v>7.4999999999999997E-2</v>
      </c>
    </row>
    <row r="117" spans="1:6" ht="12" customHeight="1" x14ac:dyDescent="0.2">
      <c r="B117" s="7" t="s">
        <v>15</v>
      </c>
      <c r="C117" s="35">
        <v>2.2499999999999999E-2</v>
      </c>
      <c r="E117" t="s">
        <v>50</v>
      </c>
      <c r="F117" s="36">
        <f>MIN(F114:F116)</f>
        <v>1.4999999999999999E-2</v>
      </c>
    </row>
    <row r="118" spans="1:6" ht="12" customHeight="1" x14ac:dyDescent="0.2">
      <c r="B118" s="7" t="s">
        <v>153</v>
      </c>
      <c r="C118" s="35">
        <v>0.02</v>
      </c>
      <c r="F118" s="27"/>
    </row>
    <row r="119" spans="1:6" ht="12" customHeight="1" x14ac:dyDescent="0.2">
      <c r="B119" s="7" t="s">
        <v>154</v>
      </c>
      <c r="C119" s="35">
        <v>0.06</v>
      </c>
      <c r="E119" s="12" t="s">
        <v>23</v>
      </c>
      <c r="F119" s="38">
        <f>C114*F117/12</f>
        <v>22500</v>
      </c>
    </row>
    <row r="120" spans="1:6" ht="12" customHeight="1" x14ac:dyDescent="0.2">
      <c r="B120" s="28" t="s">
        <v>68</v>
      </c>
      <c r="C120" s="39">
        <v>0</v>
      </c>
      <c r="D120" s="29"/>
      <c r="E120" s="29"/>
      <c r="F120" s="30"/>
    </row>
    <row r="122" spans="1:6" x14ac:dyDescent="0.2">
      <c r="A122" t="s">
        <v>62</v>
      </c>
      <c r="B122" s="5" t="s">
        <v>4</v>
      </c>
      <c r="C122" s="89">
        <v>18000000</v>
      </c>
      <c r="D122" s="23"/>
      <c r="E122" s="23" t="s">
        <v>13</v>
      </c>
      <c r="F122" s="36">
        <f>C124+C125</f>
        <v>5.2499999999999998E-2</v>
      </c>
    </row>
    <row r="123" spans="1:6" x14ac:dyDescent="0.2">
      <c r="B123" s="7" t="s">
        <v>70</v>
      </c>
      <c r="C123" s="35">
        <v>1.4999999999999999E-2</v>
      </c>
      <c r="E123" t="s">
        <v>14</v>
      </c>
      <c r="F123" s="37">
        <f>C123+C126*C128</f>
        <v>3.5000000000000003E-2</v>
      </c>
    </row>
    <row r="124" spans="1:6" x14ac:dyDescent="0.2">
      <c r="B124" s="7" t="s">
        <v>69</v>
      </c>
      <c r="C124" s="35">
        <v>0.03</v>
      </c>
      <c r="E124" t="s">
        <v>16</v>
      </c>
      <c r="F124" s="37">
        <f>C123+C127</f>
        <v>7.4999999999999997E-2</v>
      </c>
    </row>
    <row r="125" spans="1:6" x14ac:dyDescent="0.2">
      <c r="B125" s="7" t="s">
        <v>15</v>
      </c>
      <c r="C125" s="35">
        <v>2.2499999999999999E-2</v>
      </c>
      <c r="E125" t="s">
        <v>50</v>
      </c>
      <c r="F125" s="36">
        <f>MIN(F122:F124)</f>
        <v>3.5000000000000003E-2</v>
      </c>
    </row>
    <row r="126" spans="1:6" x14ac:dyDescent="0.2">
      <c r="B126" s="7" t="s">
        <v>153</v>
      </c>
      <c r="C126" s="35">
        <v>0.02</v>
      </c>
      <c r="F126" s="27"/>
    </row>
    <row r="127" spans="1:6" x14ac:dyDescent="0.2">
      <c r="B127" s="7" t="s">
        <v>154</v>
      </c>
      <c r="C127" s="35">
        <v>0.06</v>
      </c>
      <c r="E127" s="12" t="s">
        <v>23</v>
      </c>
      <c r="F127" s="38">
        <f>C122*F125/12</f>
        <v>52500.000000000007</v>
      </c>
    </row>
    <row r="128" spans="1:6" x14ac:dyDescent="0.2">
      <c r="B128" s="28" t="s">
        <v>68</v>
      </c>
      <c r="C128" s="39">
        <v>1</v>
      </c>
      <c r="D128" s="29"/>
      <c r="E128" s="29"/>
      <c r="F128" s="30"/>
    </row>
    <row r="129" spans="1:6" x14ac:dyDescent="0.2">
      <c r="B129" s="29"/>
      <c r="C129" s="113"/>
      <c r="D129" s="73"/>
      <c r="E129" s="73"/>
      <c r="F129" s="73"/>
    </row>
    <row r="130" spans="1:6" x14ac:dyDescent="0.2">
      <c r="A130" t="s">
        <v>97</v>
      </c>
      <c r="B130" s="5" t="s">
        <v>64</v>
      </c>
      <c r="C130" s="93">
        <v>1500000</v>
      </c>
      <c r="D130" s="73"/>
      <c r="E130" s="73"/>
      <c r="F130" s="73"/>
    </row>
    <row r="131" spans="1:6" x14ac:dyDescent="0.2">
      <c r="B131" s="7" t="s">
        <v>144</v>
      </c>
      <c r="C131" s="97">
        <v>600000</v>
      </c>
      <c r="D131" s="73"/>
      <c r="E131" s="73"/>
      <c r="F131" s="73"/>
    </row>
    <row r="132" spans="1:6" x14ac:dyDescent="0.2">
      <c r="B132" s="7" t="s">
        <v>147</v>
      </c>
      <c r="C132" s="9">
        <v>0.6</v>
      </c>
      <c r="D132" s="73"/>
      <c r="E132" s="73"/>
      <c r="F132" s="73"/>
    </row>
    <row r="133" spans="1:6" x14ac:dyDescent="0.2">
      <c r="B133" s="7" t="s">
        <v>148</v>
      </c>
      <c r="C133" s="9">
        <v>0.4</v>
      </c>
      <c r="D133" s="73"/>
      <c r="E133" s="73"/>
      <c r="F133" s="73"/>
    </row>
    <row r="134" spans="1:6" x14ac:dyDescent="0.2">
      <c r="B134" s="7" t="s">
        <v>145</v>
      </c>
      <c r="C134" s="97">
        <v>100000</v>
      </c>
      <c r="D134" s="73"/>
      <c r="E134" s="73"/>
      <c r="F134" s="73"/>
    </row>
    <row r="135" spans="1:6" x14ac:dyDescent="0.2">
      <c r="B135" s="7"/>
      <c r="C135" s="27"/>
      <c r="D135" s="73"/>
      <c r="E135" s="73"/>
      <c r="F135" s="73"/>
    </row>
    <row r="136" spans="1:6" x14ac:dyDescent="0.2">
      <c r="B136" s="7" t="s">
        <v>146</v>
      </c>
      <c r="C136" s="11"/>
      <c r="D136" s="73"/>
      <c r="E136" s="73"/>
      <c r="F136" s="73"/>
    </row>
    <row r="137" spans="1:6" x14ac:dyDescent="0.2">
      <c r="B137" s="56" t="s">
        <v>38</v>
      </c>
      <c r="C137" s="96">
        <f>C134</f>
        <v>100000</v>
      </c>
      <c r="D137" s="73"/>
      <c r="E137" s="73"/>
      <c r="F137" s="73"/>
    </row>
    <row r="138" spans="1:6" x14ac:dyDescent="0.2">
      <c r="B138" s="56" t="s">
        <v>65</v>
      </c>
      <c r="C138" s="96">
        <f>C131-C137</f>
        <v>500000</v>
      </c>
      <c r="D138" s="73"/>
      <c r="E138" s="73"/>
      <c r="F138" s="73"/>
    </row>
    <row r="139" spans="1:6" x14ac:dyDescent="0.2">
      <c r="B139" s="13" t="s">
        <v>149</v>
      </c>
      <c r="C139" s="95">
        <f>(C130-C138)*C132+C138</f>
        <v>1100000</v>
      </c>
      <c r="D139" s="73"/>
      <c r="E139" s="73"/>
      <c r="F139" s="73"/>
    </row>
    <row r="140" spans="1:6" x14ac:dyDescent="0.2">
      <c r="B140" s="29"/>
      <c r="C140" s="113"/>
      <c r="D140" s="73"/>
      <c r="E140" s="73"/>
      <c r="F140" s="73"/>
    </row>
    <row r="141" spans="1:6" x14ac:dyDescent="0.2">
      <c r="A141" t="s">
        <v>98</v>
      </c>
      <c r="B141" s="5" t="s">
        <v>45</v>
      </c>
      <c r="C141" s="93">
        <v>2500000</v>
      </c>
    </row>
    <row r="142" spans="1:6" x14ac:dyDescent="0.2">
      <c r="B142" s="7" t="s">
        <v>46</v>
      </c>
      <c r="C142" s="20">
        <v>0.9</v>
      </c>
    </row>
    <row r="143" spans="1:6" x14ac:dyDescent="0.2">
      <c r="B143" s="7" t="s">
        <v>47</v>
      </c>
      <c r="C143" s="96">
        <f>C141*C142</f>
        <v>2250000</v>
      </c>
    </row>
    <row r="144" spans="1:6" x14ac:dyDescent="0.2">
      <c r="B144" s="7" t="s">
        <v>80</v>
      </c>
      <c r="C144" s="8">
        <v>15</v>
      </c>
    </row>
    <row r="145" spans="1:6" x14ac:dyDescent="0.2">
      <c r="B145" s="7" t="s">
        <v>81</v>
      </c>
      <c r="C145" s="20">
        <v>5.5E-2</v>
      </c>
    </row>
    <row r="146" spans="1:6" x14ac:dyDescent="0.2">
      <c r="B146" s="13" t="s">
        <v>6</v>
      </c>
      <c r="C146" s="32">
        <f>-PMT(C145/12,C144*12,,C143)</f>
        <v>8071.8777289756335</v>
      </c>
      <c r="D146" s="4">
        <f>PMT(0.4583,180,,2250000)</f>
        <v>0</v>
      </c>
      <c r="E146" s="32"/>
    </row>
    <row r="148" spans="1:6" x14ac:dyDescent="0.2">
      <c r="A148" t="s">
        <v>99</v>
      </c>
      <c r="B148" s="5" t="s">
        <v>4</v>
      </c>
      <c r="C148" s="89">
        <v>18000000</v>
      </c>
      <c r="D148" s="23"/>
      <c r="E148" s="23" t="s">
        <v>13</v>
      </c>
      <c r="F148" s="36">
        <f>C151+C152</f>
        <v>5.2499999999999998E-2</v>
      </c>
    </row>
    <row r="149" spans="1:6" x14ac:dyDescent="0.2">
      <c r="B149" s="7" t="s">
        <v>89</v>
      </c>
      <c r="C149" s="72">
        <v>30</v>
      </c>
      <c r="D149" s="73"/>
      <c r="E149" t="s">
        <v>14</v>
      </c>
      <c r="F149" s="37">
        <f>C150+C153*C155</f>
        <v>1.4999999999999999E-2</v>
      </c>
    </row>
    <row r="150" spans="1:6" x14ac:dyDescent="0.2">
      <c r="B150" s="7" t="s">
        <v>70</v>
      </c>
      <c r="C150" s="35">
        <v>1.4999999999999999E-2</v>
      </c>
      <c r="E150" t="s">
        <v>16</v>
      </c>
      <c r="F150" s="37">
        <f>C150+C154</f>
        <v>7.4999999999999997E-2</v>
      </c>
    </row>
    <row r="151" spans="1:6" x14ac:dyDescent="0.2">
      <c r="B151" s="7" t="s">
        <v>69</v>
      </c>
      <c r="C151" s="35">
        <v>0.03</v>
      </c>
      <c r="E151" t="s">
        <v>50</v>
      </c>
      <c r="F151" s="36">
        <f>MIN(F148:F150)</f>
        <v>1.4999999999999999E-2</v>
      </c>
    </row>
    <row r="152" spans="1:6" x14ac:dyDescent="0.2">
      <c r="B152" s="7" t="s">
        <v>15</v>
      </c>
      <c r="C152" s="35">
        <v>2.2499999999999999E-2</v>
      </c>
      <c r="F152" s="27"/>
    </row>
    <row r="153" spans="1:6" x14ac:dyDescent="0.2">
      <c r="B153" s="7" t="s">
        <v>14</v>
      </c>
      <c r="C153" s="35">
        <v>0.02</v>
      </c>
      <c r="E153" s="12" t="s">
        <v>23</v>
      </c>
      <c r="F153" s="80">
        <f>-PMT(F151/12,C149*12,C148)</f>
        <v>62121.637882372852</v>
      </c>
    </row>
    <row r="154" spans="1:6" x14ac:dyDescent="0.2">
      <c r="B154" s="7" t="s">
        <v>16</v>
      </c>
      <c r="C154" s="35">
        <v>0.06</v>
      </c>
      <c r="F154" s="27"/>
    </row>
    <row r="155" spans="1:6" x14ac:dyDescent="0.2">
      <c r="B155" s="28" t="s">
        <v>68</v>
      </c>
      <c r="C155" s="39">
        <v>0</v>
      </c>
      <c r="D155" s="29"/>
      <c r="E155" s="29"/>
      <c r="F155" s="30"/>
    </row>
    <row r="157" spans="1:6" x14ac:dyDescent="0.2">
      <c r="A157" t="s">
        <v>100</v>
      </c>
      <c r="B157" s="5" t="s">
        <v>4</v>
      </c>
      <c r="C157" s="94">
        <f>-FV($F$151/12,2*12,-F153,C148)</f>
        <v>17035285.095892251</v>
      </c>
      <c r="D157" s="23"/>
      <c r="E157" s="23" t="s">
        <v>13</v>
      </c>
      <c r="F157" s="36">
        <f>C160+C161</f>
        <v>5.2499999999999998E-2</v>
      </c>
    </row>
    <row r="158" spans="1:6" x14ac:dyDescent="0.2">
      <c r="B158" s="7" t="s">
        <v>89</v>
      </c>
      <c r="C158" s="72">
        <v>28</v>
      </c>
      <c r="D158" s="73"/>
      <c r="E158" t="s">
        <v>14</v>
      </c>
      <c r="F158" s="37">
        <f>C159+C162*C164</f>
        <v>3.5000000000000003E-2</v>
      </c>
    </row>
    <row r="159" spans="1:6" x14ac:dyDescent="0.2">
      <c r="B159" s="7" t="s">
        <v>70</v>
      </c>
      <c r="C159" s="35">
        <v>1.4999999999999999E-2</v>
      </c>
      <c r="E159" t="s">
        <v>16</v>
      </c>
      <c r="F159" s="37">
        <f>C159+C163</f>
        <v>7.4999999999999997E-2</v>
      </c>
    </row>
    <row r="160" spans="1:6" x14ac:dyDescent="0.2">
      <c r="B160" s="7" t="s">
        <v>69</v>
      </c>
      <c r="C160" s="35">
        <v>0.03</v>
      </c>
      <c r="E160" t="s">
        <v>50</v>
      </c>
      <c r="F160" s="36">
        <f>MIN(F157:F159)</f>
        <v>3.5000000000000003E-2</v>
      </c>
    </row>
    <row r="161" spans="1:9" x14ac:dyDescent="0.2">
      <c r="B161" s="7" t="s">
        <v>15</v>
      </c>
      <c r="C161" s="35">
        <v>2.2499999999999999E-2</v>
      </c>
      <c r="F161" s="27"/>
    </row>
    <row r="162" spans="1:9" x14ac:dyDescent="0.2">
      <c r="B162" s="7" t="s">
        <v>14</v>
      </c>
      <c r="C162" s="35">
        <v>0.02</v>
      </c>
      <c r="E162" s="12" t="s">
        <v>23</v>
      </c>
      <c r="F162" s="80">
        <f>-PMT(F160/12,C158*12,C157)</f>
        <v>79605.856332021329</v>
      </c>
    </row>
    <row r="163" spans="1:9" x14ac:dyDescent="0.2">
      <c r="B163" s="7" t="s">
        <v>16</v>
      </c>
      <c r="C163" s="35">
        <v>0.06</v>
      </c>
      <c r="F163" s="27"/>
    </row>
    <row r="164" spans="1:9" x14ac:dyDescent="0.2">
      <c r="B164" s="28" t="s">
        <v>68</v>
      </c>
      <c r="C164" s="39">
        <v>1</v>
      </c>
      <c r="D164" s="29"/>
      <c r="E164" s="29"/>
      <c r="F164" s="30"/>
    </row>
    <row r="166" spans="1:9" x14ac:dyDescent="0.2">
      <c r="A166" t="s">
        <v>101</v>
      </c>
      <c r="B166" s="5"/>
      <c r="C166" s="23"/>
      <c r="D166" s="43" t="s">
        <v>52</v>
      </c>
      <c r="E166" s="43" t="s">
        <v>53</v>
      </c>
      <c r="F166" s="44" t="s">
        <v>54</v>
      </c>
      <c r="I166" s="1"/>
    </row>
    <row r="167" spans="1:9" x14ac:dyDescent="0.2">
      <c r="B167" s="7" t="s">
        <v>85</v>
      </c>
      <c r="D167" s="2">
        <v>60</v>
      </c>
      <c r="E167" s="2">
        <v>200</v>
      </c>
      <c r="F167" s="45">
        <f>D167*E167</f>
        <v>12000</v>
      </c>
      <c r="I167" s="1"/>
    </row>
    <row r="168" spans="1:9" x14ac:dyDescent="0.2">
      <c r="B168" s="69" t="s">
        <v>113</v>
      </c>
      <c r="C168" s="70">
        <v>10</v>
      </c>
      <c r="D168" s="71">
        <f>$C$168*2</f>
        <v>20</v>
      </c>
      <c r="E168" s="71">
        <f>$C$168*2</f>
        <v>20</v>
      </c>
      <c r="F168" s="45"/>
      <c r="I168" s="1"/>
    </row>
    <row r="169" spans="1:9" x14ac:dyDescent="0.2">
      <c r="B169" s="7" t="s">
        <v>55</v>
      </c>
      <c r="D169" s="23">
        <f>D167-D168</f>
        <v>40</v>
      </c>
      <c r="E169" s="23">
        <f>E167-E168</f>
        <v>180</v>
      </c>
      <c r="F169" s="46">
        <f>D169*E169</f>
        <v>7200</v>
      </c>
      <c r="I169" s="1"/>
    </row>
    <row r="170" spans="1:9" x14ac:dyDescent="0.2">
      <c r="B170" s="7" t="s">
        <v>56</v>
      </c>
      <c r="C170" s="47">
        <v>3</v>
      </c>
      <c r="F170" s="48"/>
      <c r="I170" s="1"/>
    </row>
    <row r="171" spans="1:9" x14ac:dyDescent="0.2">
      <c r="B171" s="13" t="s">
        <v>57</v>
      </c>
      <c r="C171" s="50">
        <f>C170*F169</f>
        <v>21600</v>
      </c>
      <c r="D171" s="29"/>
      <c r="E171" s="29"/>
      <c r="F171" s="30"/>
      <c r="I171" s="1"/>
    </row>
    <row r="173" spans="1:9" x14ac:dyDescent="0.2">
      <c r="A173" t="s">
        <v>115</v>
      </c>
      <c r="B173" s="5" t="s">
        <v>26</v>
      </c>
      <c r="C173" s="6">
        <v>100000</v>
      </c>
    </row>
    <row r="174" spans="1:9" x14ac:dyDescent="0.2">
      <c r="B174" s="7" t="s">
        <v>27</v>
      </c>
      <c r="C174" s="52">
        <v>30</v>
      </c>
    </row>
    <row r="175" spans="1:9" x14ac:dyDescent="0.2">
      <c r="B175" s="7" t="s">
        <v>28</v>
      </c>
      <c r="C175" s="52">
        <v>7.5</v>
      </c>
    </row>
    <row r="176" spans="1:9" x14ac:dyDescent="0.2">
      <c r="B176" s="7" t="s">
        <v>29</v>
      </c>
      <c r="C176" s="52">
        <v>6</v>
      </c>
    </row>
    <row r="177" spans="1:3" x14ac:dyDescent="0.2">
      <c r="B177" s="13" t="s">
        <v>31</v>
      </c>
      <c r="C177" s="95">
        <f>C173*C176</f>
        <v>600000</v>
      </c>
    </row>
    <row r="179" spans="1:3" x14ac:dyDescent="0.2">
      <c r="A179" t="s">
        <v>108</v>
      </c>
      <c r="B179" s="5" t="s">
        <v>26</v>
      </c>
      <c r="C179" s="6">
        <v>100000</v>
      </c>
    </row>
    <row r="180" spans="1:3" x14ac:dyDescent="0.2">
      <c r="B180" s="7" t="s">
        <v>27</v>
      </c>
      <c r="C180" s="52">
        <v>30</v>
      </c>
    </row>
    <row r="181" spans="1:3" x14ac:dyDescent="0.2">
      <c r="B181" s="7" t="s">
        <v>28</v>
      </c>
      <c r="C181" s="52">
        <v>7.5</v>
      </c>
    </row>
    <row r="182" spans="1:3" x14ac:dyDescent="0.2">
      <c r="B182" s="7" t="s">
        <v>29</v>
      </c>
      <c r="C182" s="52">
        <v>6</v>
      </c>
    </row>
    <row r="183" spans="1:3" x14ac:dyDescent="0.2">
      <c r="B183" s="13" t="s">
        <v>32</v>
      </c>
      <c r="C183" s="95">
        <f>C179*(C181-C182)</f>
        <v>150000</v>
      </c>
    </row>
    <row r="185" spans="1:3" x14ac:dyDescent="0.2">
      <c r="A185" t="s">
        <v>116</v>
      </c>
      <c r="B185" s="5" t="s">
        <v>26</v>
      </c>
      <c r="C185" s="6">
        <v>100000</v>
      </c>
    </row>
    <row r="186" spans="1:3" x14ac:dyDescent="0.2">
      <c r="B186" s="7" t="s">
        <v>27</v>
      </c>
      <c r="C186" s="52">
        <v>30</v>
      </c>
    </row>
    <row r="187" spans="1:3" x14ac:dyDescent="0.2">
      <c r="B187" s="7" t="s">
        <v>28</v>
      </c>
      <c r="C187" s="52">
        <v>7.5</v>
      </c>
    </row>
    <row r="188" spans="1:3" x14ac:dyDescent="0.2">
      <c r="B188" s="7" t="s">
        <v>29</v>
      </c>
      <c r="C188" s="52">
        <v>6</v>
      </c>
    </row>
    <row r="189" spans="1:3" x14ac:dyDescent="0.2">
      <c r="B189" s="7" t="s">
        <v>30</v>
      </c>
      <c r="C189" s="96">
        <f>C186*C185</f>
        <v>3000000</v>
      </c>
    </row>
    <row r="190" spans="1:3" x14ac:dyDescent="0.2">
      <c r="B190" s="7" t="s">
        <v>31</v>
      </c>
      <c r="C190" s="96">
        <f>C185*C188</f>
        <v>600000</v>
      </c>
    </row>
    <row r="191" spans="1:3" x14ac:dyDescent="0.2">
      <c r="B191" s="13" t="s">
        <v>84</v>
      </c>
      <c r="C191" s="95">
        <f>C189-C190</f>
        <v>2400000</v>
      </c>
    </row>
    <row r="193" spans="1:9" x14ac:dyDescent="0.2">
      <c r="A193" t="s">
        <v>117</v>
      </c>
      <c r="B193" s="5" t="s">
        <v>5</v>
      </c>
      <c r="C193" s="119">
        <v>0.09</v>
      </c>
    </row>
    <row r="194" spans="1:9" x14ac:dyDescent="0.2">
      <c r="B194" s="7" t="s">
        <v>150</v>
      </c>
      <c r="C194" s="97">
        <v>100</v>
      </c>
    </row>
    <row r="195" spans="1:9" x14ac:dyDescent="0.2">
      <c r="B195" s="7" t="s">
        <v>151</v>
      </c>
      <c r="C195" s="97">
        <v>-200</v>
      </c>
    </row>
    <row r="196" spans="1:9" x14ac:dyDescent="0.2">
      <c r="B196" s="28" t="s">
        <v>75</v>
      </c>
      <c r="C196" s="111">
        <f>NPER(C193,0,C194,C195)</f>
        <v>8.0432317269320457</v>
      </c>
    </row>
    <row r="198" spans="1:9" x14ac:dyDescent="0.2">
      <c r="A198" t="s">
        <v>118</v>
      </c>
      <c r="B198" s="5" t="s">
        <v>26</v>
      </c>
      <c r="C198" s="22">
        <v>39000</v>
      </c>
      <c r="D198" s="23"/>
      <c r="E198" s="23" t="s">
        <v>30</v>
      </c>
      <c r="F198" s="99">
        <f>C200*$C$198*12</f>
        <v>936000</v>
      </c>
      <c r="G198" s="63" t="s">
        <v>79</v>
      </c>
      <c r="H198" s="63" t="s">
        <v>35</v>
      </c>
      <c r="I198" s="63" t="s">
        <v>36</v>
      </c>
    </row>
    <row r="199" spans="1:9" x14ac:dyDescent="0.2">
      <c r="B199" s="7" t="s">
        <v>19</v>
      </c>
      <c r="C199" s="90">
        <v>7800000</v>
      </c>
      <c r="E199" s="60" t="s">
        <v>110</v>
      </c>
      <c r="F199" s="100">
        <f>C201*$C$198*12</f>
        <v>327600</v>
      </c>
      <c r="G199" s="67">
        <v>1</v>
      </c>
      <c r="H199" s="62">
        <f t="shared" ref="H199:H210" si="2">-IPMT($C$204/12,$G199,$C$205*12,$C$203)</f>
        <v>19791.666666666668</v>
      </c>
      <c r="I199" s="62">
        <f t="shared" ref="I199:I210" si="3">-PPMT($C$204/12,$G199,$C$205*12,$C$203)</f>
        <v>6290.7001584888758</v>
      </c>
    </row>
    <row r="200" spans="1:9" x14ac:dyDescent="0.2">
      <c r="B200" s="7" t="s">
        <v>71</v>
      </c>
      <c r="C200" s="57">
        <v>2</v>
      </c>
      <c r="E200" s="12" t="s">
        <v>25</v>
      </c>
      <c r="F200" s="101">
        <f>F198-F199</f>
        <v>608400</v>
      </c>
      <c r="G200" s="67">
        <v>2</v>
      </c>
      <c r="H200" s="62">
        <f t="shared" si="2"/>
        <v>19766.765978539315</v>
      </c>
      <c r="I200" s="62">
        <f t="shared" si="3"/>
        <v>6315.6008466162284</v>
      </c>
    </row>
    <row r="201" spans="1:9" x14ac:dyDescent="0.2">
      <c r="B201" s="7" t="s">
        <v>72</v>
      </c>
      <c r="C201" s="57">
        <v>0.7</v>
      </c>
      <c r="E201" s="58" t="s">
        <v>35</v>
      </c>
      <c r="F201" s="102">
        <f>H211</f>
        <v>235834.67587931454</v>
      </c>
      <c r="G201" s="67">
        <v>3</v>
      </c>
      <c r="H201" s="62">
        <f t="shared" si="2"/>
        <v>19741.766725188128</v>
      </c>
      <c r="I201" s="62">
        <f t="shared" si="3"/>
        <v>6340.600099967417</v>
      </c>
    </row>
    <row r="202" spans="1:9" x14ac:dyDescent="0.2">
      <c r="B202" s="7" t="s">
        <v>86</v>
      </c>
      <c r="C202" s="90">
        <v>360000</v>
      </c>
      <c r="E202" s="58" t="s">
        <v>36</v>
      </c>
      <c r="F202" s="102">
        <f>I211</f>
        <v>77153.726022551971</v>
      </c>
      <c r="G202" s="67">
        <v>4</v>
      </c>
      <c r="H202" s="62">
        <f t="shared" si="2"/>
        <v>19716.668516459089</v>
      </c>
      <c r="I202" s="62">
        <f t="shared" si="3"/>
        <v>6365.6983086964565</v>
      </c>
    </row>
    <row r="203" spans="1:9" x14ac:dyDescent="0.2">
      <c r="B203" s="7" t="s">
        <v>4</v>
      </c>
      <c r="C203" s="90">
        <v>5000000</v>
      </c>
      <c r="E203" s="60" t="s">
        <v>111</v>
      </c>
      <c r="F203" s="100">
        <f>SUM(F201:F202)</f>
        <v>312988.40190186654</v>
      </c>
      <c r="G203" s="67">
        <v>5</v>
      </c>
      <c r="H203" s="62">
        <f t="shared" si="2"/>
        <v>19691.470960653831</v>
      </c>
      <c r="I203" s="62">
        <f t="shared" si="3"/>
        <v>6390.895864501711</v>
      </c>
    </row>
    <row r="204" spans="1:9" x14ac:dyDescent="0.2">
      <c r="B204" s="7" t="s">
        <v>5</v>
      </c>
      <c r="C204" s="54">
        <v>4.7500000000000001E-2</v>
      </c>
      <c r="E204" s="12" t="s">
        <v>33</v>
      </c>
      <c r="F204" s="101">
        <f>F200-F203</f>
        <v>295411.59809813346</v>
      </c>
      <c r="G204" s="67">
        <v>6</v>
      </c>
      <c r="H204" s="62">
        <f t="shared" si="2"/>
        <v>19666.173664523514</v>
      </c>
      <c r="I204" s="62">
        <f t="shared" si="3"/>
        <v>6416.1931606320322</v>
      </c>
    </row>
    <row r="205" spans="1:9" x14ac:dyDescent="0.2">
      <c r="B205" s="7" t="s">
        <v>66</v>
      </c>
      <c r="C205" s="21">
        <v>30</v>
      </c>
      <c r="E205" s="59" t="s">
        <v>112</v>
      </c>
      <c r="F205" s="103">
        <f>C199*C207/C208</f>
        <v>160000</v>
      </c>
      <c r="G205" s="67">
        <v>7</v>
      </c>
      <c r="H205" s="62">
        <f t="shared" si="2"/>
        <v>19640.776233262677</v>
      </c>
      <c r="I205" s="62">
        <f t="shared" si="3"/>
        <v>6441.5905918928665</v>
      </c>
    </row>
    <row r="206" spans="1:9" x14ac:dyDescent="0.2">
      <c r="B206" s="7" t="s">
        <v>87</v>
      </c>
      <c r="C206" s="98">
        <f>-12*PMT(C204/12,C205*12,C203)</f>
        <v>312988.40190186654</v>
      </c>
      <c r="E206" s="12" t="s">
        <v>37</v>
      </c>
      <c r="F206" s="101">
        <f>F200-F201-F205</f>
        <v>212565.32412068546</v>
      </c>
      <c r="G206" s="67">
        <v>8</v>
      </c>
      <c r="H206" s="62">
        <f t="shared" si="2"/>
        <v>19615.278270503102</v>
      </c>
      <c r="I206" s="62">
        <f t="shared" si="3"/>
        <v>6467.0885546524432</v>
      </c>
    </row>
    <row r="207" spans="1:9" x14ac:dyDescent="0.2">
      <c r="B207" s="7" t="s">
        <v>73</v>
      </c>
      <c r="C207" s="18">
        <v>0.8</v>
      </c>
      <c r="F207" s="27"/>
      <c r="G207" s="67">
        <v>9</v>
      </c>
      <c r="H207" s="62">
        <f t="shared" si="2"/>
        <v>19589.679378307606</v>
      </c>
      <c r="I207" s="62">
        <f t="shared" si="3"/>
        <v>6492.6874468479418</v>
      </c>
    </row>
    <row r="208" spans="1:9" x14ac:dyDescent="0.2">
      <c r="B208" s="28" t="s">
        <v>74</v>
      </c>
      <c r="C208" s="120">
        <v>39</v>
      </c>
      <c r="D208" s="29"/>
      <c r="E208" s="29"/>
      <c r="F208" s="30"/>
      <c r="G208" s="67">
        <v>10</v>
      </c>
      <c r="H208" s="62">
        <f t="shared" si="2"/>
        <v>19563.979157163831</v>
      </c>
      <c r="I208" s="62">
        <f t="shared" si="3"/>
        <v>6518.3876679917157</v>
      </c>
    </row>
    <row r="209" spans="3:9" x14ac:dyDescent="0.2">
      <c r="G209" s="67">
        <v>11</v>
      </c>
      <c r="H209" s="62">
        <f t="shared" si="2"/>
        <v>19538.177205978031</v>
      </c>
      <c r="I209" s="62">
        <f t="shared" si="3"/>
        <v>6544.1896191775149</v>
      </c>
    </row>
    <row r="210" spans="3:9" x14ac:dyDescent="0.2">
      <c r="G210" s="67">
        <v>12</v>
      </c>
      <c r="H210" s="62">
        <f t="shared" si="2"/>
        <v>19512.273122068789</v>
      </c>
      <c r="I210" s="62">
        <f t="shared" si="3"/>
        <v>6570.0937030867599</v>
      </c>
    </row>
    <row r="211" spans="3:9" x14ac:dyDescent="0.2">
      <c r="H211" s="64">
        <f>SUM(H199:H210)</f>
        <v>235834.67587931454</v>
      </c>
      <c r="I211" s="64">
        <f>SUM(I199:I210)</f>
        <v>77153.726022551971</v>
      </c>
    </row>
    <row r="213" spans="3:9" x14ac:dyDescent="0.2">
      <c r="C213" s="84"/>
    </row>
  </sheetData>
  <dataValidations count="1">
    <dataValidation type="list" allowBlank="1" showInputMessage="1" showErrorMessage="1" sqref="C208" xr:uid="{00000000-0002-0000-0000-000000000000}">
      <formula1>"27.5,39"</formula1>
    </dataValidation>
  </dataValidation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Fine</dc:creator>
  <cp:lastModifiedBy>Ethan Wong</cp:lastModifiedBy>
  <dcterms:created xsi:type="dcterms:W3CDTF">2018-05-23T06:29:24Z</dcterms:created>
  <dcterms:modified xsi:type="dcterms:W3CDTF">2022-03-15T20:48:05Z</dcterms:modified>
</cp:coreProperties>
</file>