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234\OneDrive\Desktop\MGMT 170\Spreadsheets\"/>
    </mc:Choice>
  </mc:AlternateContent>
  <xr:revisionPtr revIDLastSave="0" documentId="13_ncr:1_{B623E6F7-F4CB-4236-A191-B2F8F819523D}" xr6:coauthVersionLast="47" xr6:coauthVersionMax="47" xr10:uidLastSave="{00000000-0000-0000-0000-000000000000}"/>
  <bookViews>
    <workbookView xWindow="22932" yWindow="-108" windowWidth="23256" windowHeight="12576" activeTab="2" xr2:uid="{00000000-000D-0000-FFFF-FFFF00000000}"/>
  </bookViews>
  <sheets>
    <sheet name="Adjustable Rate Loans" sheetId="4" r:id="rId1"/>
    <sheet name="Mortgage Calcs" sheetId="1" r:id="rId2"/>
    <sheet name="APR and Effective Yield" sheetId="3" r:id="rId3"/>
    <sheet name="Marginal Borrowing Cos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4" l="1"/>
  <c r="C19" i="3" l="1"/>
  <c r="G14" i="3"/>
  <c r="E14" i="3" l="1"/>
  <c r="C15" i="3" l="1"/>
  <c r="C14" i="3" l="1"/>
  <c r="E18" i="3"/>
  <c r="B16" i="3" l="1"/>
  <c r="B15" i="3"/>
  <c r="C17" i="1" l="1"/>
  <c r="C16" i="1"/>
  <c r="C15" i="1"/>
  <c r="C12" i="1"/>
  <c r="C10" i="1"/>
  <c r="C9" i="1"/>
  <c r="C7" i="1"/>
  <c r="C6" i="1"/>
  <c r="C4" i="1"/>
  <c r="D14" i="3" l="1"/>
  <c r="E16" i="3" l="1"/>
  <c r="C7" i="4" l="1"/>
  <c r="C14" i="4"/>
  <c r="C16" i="4" l="1"/>
  <c r="E15" i="3"/>
  <c r="D15" i="3"/>
  <c r="F14" i="3" l="1"/>
  <c r="C16" i="3"/>
  <c r="C7" i="2"/>
  <c r="F15" i="3" l="1"/>
  <c r="G15" i="3" s="1"/>
  <c r="G16" i="3" s="1"/>
  <c r="F16" i="3"/>
  <c r="B7" i="2"/>
  <c r="H7" i="2" s="1"/>
  <c r="H6" i="2"/>
  <c r="D16" i="3" l="1"/>
  <c r="D18" i="3" s="1"/>
  <c r="H8" i="2"/>
  <c r="G7" i="2" l="1"/>
  <c r="G6" i="2"/>
  <c r="G8" i="2" l="1"/>
  <c r="E8" i="2"/>
  <c r="F10" i="2" l="1"/>
  <c r="D13" i="1" l="1"/>
  <c r="D18" i="1"/>
  <c r="B18" i="1"/>
  <c r="B16" i="1"/>
  <c r="B15" i="1"/>
  <c r="B13" i="1"/>
  <c r="E15" i="1" l="1"/>
  <c r="B10" i="1"/>
  <c r="B9" i="1"/>
  <c r="E9" i="1" s="1"/>
  <c r="E13" i="1" s="1"/>
  <c r="B7" i="1"/>
  <c r="E7" i="1" s="1"/>
  <c r="B6" i="1"/>
  <c r="B4" i="1"/>
  <c r="E4" i="1" s="1"/>
  <c r="E6" i="1" l="1"/>
  <c r="E18" i="1"/>
  <c r="E17" i="1"/>
  <c r="F17" i="1" s="1"/>
  <c r="F18" i="1" s="1"/>
  <c r="E16" i="1"/>
  <c r="D16" i="1" s="1"/>
  <c r="E12" i="1"/>
  <c r="F12" i="1" s="1"/>
  <c r="E10" i="1"/>
  <c r="D10" i="1" l="1"/>
  <c r="D11" i="1" s="1"/>
  <c r="G12" i="1"/>
  <c r="F13" i="1"/>
  <c r="C13" i="1" s="1"/>
  <c r="C18" i="1"/>
</calcChain>
</file>

<file path=xl/sharedStrings.xml><?xml version="1.0" encoding="utf-8"?>
<sst xmlns="http://schemas.openxmlformats.org/spreadsheetml/2006/main" count="77" uniqueCount="64">
  <si>
    <t>n</t>
  </si>
  <si>
    <t>i</t>
  </si>
  <si>
    <t>PV</t>
  </si>
  <si>
    <t>PMT</t>
  </si>
  <si>
    <t>FV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</si>
  <si>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</si>
  <si>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</si>
  <si>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</si>
  <si>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</si>
  <si>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</si>
  <si>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</si>
  <si>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</si>
  <si>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</si>
  <si>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</si>
  <si>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</si>
  <si>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</si>
  <si>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MORTGAGES - ADDITIONAL CONCEPTS</t>
  </si>
  <si>
    <t>(Points to be charged)</t>
  </si>
  <si>
    <t>BLUE = INPUT CHANGE</t>
  </si>
  <si>
    <t>BOLD ITALICS = OUTPUT CHANGE</t>
  </si>
  <si>
    <t>Purchase Price:</t>
  </si>
  <si>
    <t>LTV</t>
  </si>
  <si>
    <t>Loan Amount</t>
  </si>
  <si>
    <t>Monthly P&amp;I PMT</t>
  </si>
  <si>
    <t>Monthly I/O PMT</t>
  </si>
  <si>
    <t>Step 1:</t>
  </si>
  <si>
    <t>Amortizing?</t>
  </si>
  <si>
    <t>Term (Years)</t>
  </si>
  <si>
    <t>Lifetime Maximum Interest Rate</t>
  </si>
  <si>
    <t xml:space="preserve"> </t>
  </si>
  <si>
    <t>YES</t>
  </si>
  <si>
    <t>Annual Interest Rate</t>
  </si>
  <si>
    <t>APR and Effective Yield Calculations</t>
  </si>
  <si>
    <t>Total points charged:</t>
  </si>
  <si>
    <t>Total fees charged:</t>
  </si>
  <si>
    <t>Prepayment penalty:</t>
  </si>
  <si>
    <t>Interest Rate:</t>
  </si>
  <si>
    <t>Amortization Period:</t>
  </si>
  <si>
    <t>years</t>
  </si>
  <si>
    <t>Maturity Date:</t>
  </si>
  <si>
    <t>Loan Amount:</t>
  </si>
  <si>
    <t>annual</t>
  </si>
  <si>
    <t>at loan closing</t>
  </si>
  <si>
    <t>none</t>
  </si>
  <si>
    <t>Prepayment date:</t>
  </si>
  <si>
    <t>Additional Amount Borrowed:</t>
  </si>
  <si>
    <t xml:space="preserve"> Index + Margin</t>
  </si>
  <si>
    <t>fixed for loan term</t>
  </si>
  <si>
    <t>Maximum Adjusted Rate on the Loan</t>
  </si>
  <si>
    <t># of Periodic Interest Rate Changes</t>
  </si>
  <si>
    <t>ARM Loans - Interest Rate Change Calculations with Rate Caps</t>
  </si>
  <si>
    <t>Marginal Borrowing Cost (annualized):</t>
  </si>
  <si>
    <t>MARGINAL COST OF ADDITIONAL AMOUNT BORROWED</t>
  </si>
  <si>
    <r>
      <t xml:space="preserve">Lender's Profit </t>
    </r>
    <r>
      <rPr>
        <b/>
        <sz val="28"/>
        <color theme="1"/>
        <rFont val="Calibri"/>
        <family val="2"/>
        <scheme val="minor"/>
      </rPr>
      <t>Margin</t>
    </r>
  </si>
  <si>
    <r>
      <t xml:space="preserve">"Teaser Rate" </t>
    </r>
    <r>
      <rPr>
        <sz val="28"/>
        <color theme="1"/>
        <rFont val="Calibri"/>
        <family val="2"/>
        <scheme val="minor"/>
      </rPr>
      <t>or</t>
    </r>
    <r>
      <rPr>
        <b/>
        <sz val="28"/>
        <color theme="1"/>
        <rFont val="Calibri"/>
        <family val="2"/>
        <scheme val="minor"/>
      </rPr>
      <t xml:space="preserve"> Start Rate</t>
    </r>
  </si>
  <si>
    <r>
      <rPr>
        <b/>
        <sz val="28"/>
        <color theme="1"/>
        <rFont val="Calibri"/>
        <family val="2"/>
        <scheme val="minor"/>
      </rPr>
      <t>Lifetime</t>
    </r>
    <r>
      <rPr>
        <sz val="28"/>
        <color theme="1"/>
        <rFont val="Calibri"/>
        <family val="2"/>
        <scheme val="minor"/>
      </rPr>
      <t xml:space="preserve"> Interest Rate Increase </t>
    </r>
    <r>
      <rPr>
        <b/>
        <sz val="28"/>
        <color theme="1"/>
        <rFont val="Calibri"/>
        <family val="2"/>
        <scheme val="minor"/>
      </rPr>
      <t>Cap</t>
    </r>
  </si>
  <si>
    <r>
      <rPr>
        <b/>
        <sz val="28"/>
        <color theme="1"/>
        <rFont val="Calibri"/>
        <family val="2"/>
        <scheme val="minor"/>
      </rPr>
      <t>Periodic</t>
    </r>
    <r>
      <rPr>
        <sz val="28"/>
        <color theme="1"/>
        <rFont val="Calibri"/>
        <family val="2"/>
        <scheme val="minor"/>
      </rPr>
      <t xml:space="preserve"> Interest Rate Increase </t>
    </r>
    <r>
      <rPr>
        <b/>
        <sz val="28"/>
        <color theme="1"/>
        <rFont val="Calibri"/>
        <family val="2"/>
        <scheme val="minor"/>
      </rPr>
      <t>Cap</t>
    </r>
  </si>
  <si>
    <t>Periodic Maximum Interest Rate</t>
  </si>
  <si>
    <t>1-year LIBOR</t>
  </si>
  <si>
    <t>only impacts the result if the loan is paid off before the Maturity Date</t>
  </si>
  <si>
    <t xml:space="preserve"> Composite Interest Rate</t>
  </si>
  <si>
    <r>
      <t xml:space="preserve"> Interest Rate </t>
    </r>
    <r>
      <rPr>
        <b/>
        <sz val="28"/>
        <color theme="1"/>
        <rFont val="Calibri"/>
        <family val="2"/>
        <scheme val="minor"/>
      </rPr>
      <t>Index</t>
    </r>
  </si>
  <si>
    <t xml:space="preserve"> initial period</t>
  </si>
  <si>
    <t xml:space="preserve"> future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</si>
</sst>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&quot;$&quot;#,##0.00"/>
    <numFmt numFmtId="166" formatCode="0.000%"/>
    <numFmt numFmtId="167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28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name val="Calibri"/>
      <family val="2"/>
      <scheme val="minor"/>
    </font>
    <font>
      <u val="singleAccounting"/>
      <sz val="20"/>
      <color theme="1"/>
      <name val="Calibri"/>
      <family val="2"/>
      <scheme val="minor"/>
    </font>
    <font>
      <u val="singleAccounting"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EFF5FF"/>
        <bgColor indexed="64"/>
      </patternFill>
    </fill>
    <fill>
      <patternFill patternType="solid">
        <fgColor rgb="FFE3FAFD"/>
        <bgColor indexed="64"/>
      </patternFill>
    </fill>
    <fill>
      <patternFill patternType="solid">
        <fgColor rgb="FFCFEDFD"/>
        <bgColor indexed="64"/>
      </patternFill>
    </fill>
    <fill>
      <patternFill patternType="solid">
        <fgColor rgb="FFB2DAF8"/>
        <bgColor indexed="64"/>
      </patternFill>
    </fill>
    <fill>
      <patternFill patternType="solid">
        <fgColor rgb="FF8BD2E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2" applyNumberFormat="1" applyFont="1"/>
    <xf numFmtId="8" fontId="2" fillId="0" borderId="0" xfId="1" applyNumberFormat="1" applyFont="1"/>
    <xf numFmtId="8" fontId="5" fillId="0" borderId="0" xfId="1" applyNumberFormat="1" applyFont="1"/>
    <xf numFmtId="164" fontId="5" fillId="0" borderId="0" xfId="2" applyNumberFormat="1" applyFont="1"/>
    <xf numFmtId="10" fontId="6" fillId="0" borderId="0" xfId="2" applyNumberFormat="1" applyFont="1" applyAlignment="1">
      <alignment vertical="top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8" fontId="5" fillId="2" borderId="0" xfId="1" applyNumberFormat="1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164" fontId="4" fillId="0" borderId="0" xfId="2" applyNumberFormat="1" applyFont="1" applyFill="1"/>
    <xf numFmtId="8" fontId="5" fillId="0" borderId="0" xfId="1" applyNumberFormat="1" applyFont="1" applyFill="1"/>
    <xf numFmtId="167" fontId="7" fillId="0" borderId="0" xfId="2" applyNumberFormat="1" applyFont="1"/>
    <xf numFmtId="0" fontId="2" fillId="3" borderId="1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/>
    </xf>
    <xf numFmtId="0" fontId="8" fillId="0" borderId="0" xfId="0" applyFont="1"/>
    <xf numFmtId="165" fontId="9" fillId="0" borderId="0" xfId="0" applyNumberFormat="1" applyFont="1" applyAlignment="1">
      <alignment horizontal="center"/>
    </xf>
    <xf numFmtId="164" fontId="9" fillId="2" borderId="0" xfId="2" applyNumberFormat="1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44" fontId="6" fillId="0" borderId="0" xfId="1" applyFont="1" applyBorder="1"/>
    <xf numFmtId="44" fontId="14" fillId="0" borderId="0" xfId="1" applyFont="1" applyBorder="1" applyAlignment="1">
      <alignment horizontal="center"/>
    </xf>
    <xf numFmtId="0" fontId="7" fillId="0" borderId="0" xfId="0" applyFont="1"/>
    <xf numFmtId="44" fontId="2" fillId="0" borderId="0" xfId="1" applyFont="1" applyBorder="1" applyAlignment="1">
      <alignment horizontal="right"/>
    </xf>
    <xf numFmtId="44" fontId="2" fillId="0" borderId="0" xfId="1" applyFont="1" applyBorder="1"/>
    <xf numFmtId="44" fontId="15" fillId="0" borderId="0" xfId="1" applyFont="1" applyBorder="1" applyAlignment="1">
      <alignment horizontal="right"/>
    </xf>
    <xf numFmtId="9" fontId="2" fillId="0" borderId="0" xfId="2" applyFont="1" applyBorder="1"/>
    <xf numFmtId="44" fontId="4" fillId="0" borderId="0" xfId="1" applyFont="1" applyBorder="1"/>
    <xf numFmtId="0" fontId="10" fillId="0" borderId="0" xfId="0" applyFont="1" applyAlignment="1">
      <alignment horizontal="right"/>
    </xf>
    <xf numFmtId="0" fontId="3" fillId="0" borderId="0" xfId="0" applyFont="1" applyAlignment="1"/>
    <xf numFmtId="8" fontId="2" fillId="0" borderId="0" xfId="1" applyNumberFormat="1" applyFont="1" applyBorder="1" applyAlignment="1">
      <alignment horizontal="center"/>
    </xf>
    <xf numFmtId="8" fontId="10" fillId="0" borderId="0" xfId="1" applyNumberFormat="1" applyFont="1" applyBorder="1" applyAlignment="1">
      <alignment horizontal="center"/>
    </xf>
    <xf numFmtId="0" fontId="2" fillId="0" borderId="0" xfId="3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8" fontId="9" fillId="0" borderId="0" xfId="1" applyNumberFormat="1" applyFont="1"/>
    <xf numFmtId="10" fontId="4" fillId="2" borderId="1" xfId="2" applyNumberFormat="1" applyFont="1" applyFill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44" fontId="15" fillId="0" borderId="0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8" fontId="5" fillId="0" borderId="0" xfId="1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2" applyNumberFormat="1" applyFont="1" applyAlignment="1">
      <alignment vertical="center"/>
    </xf>
    <xf numFmtId="164" fontId="4" fillId="0" borderId="0" xfId="2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4" fontId="2" fillId="0" borderId="0" xfId="2" applyNumberFormat="1" applyFont="1" applyAlignment="1">
      <alignment horizontal="center" vertical="center"/>
    </xf>
    <xf numFmtId="166" fontId="7" fillId="2" borderId="2" xfId="2" applyNumberFormat="1" applyFont="1" applyFill="1" applyBorder="1" applyAlignment="1">
      <alignment horizontal="center" vertical="center"/>
    </xf>
    <xf numFmtId="166" fontId="7" fillId="4" borderId="2" xfId="2" applyNumberFormat="1" applyFont="1" applyFill="1" applyBorder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37" fontId="7" fillId="2" borderId="2" xfId="3" applyNumberFormat="1" applyFont="1" applyFill="1" applyBorder="1" applyAlignment="1">
      <alignment horizontal="center" vertical="center"/>
    </xf>
    <xf numFmtId="8" fontId="5" fillId="0" borderId="0" xfId="1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" fontId="7" fillId="4" borderId="2" xfId="2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6" fontId="9" fillId="2" borderId="1" xfId="2" applyNumberFormat="1" applyFont="1" applyFill="1" applyBorder="1" applyAlignment="1">
      <alignment horizontal="center" vertical="center"/>
    </xf>
    <xf numFmtId="7" fontId="2" fillId="0" borderId="0" xfId="1" applyNumberFormat="1" applyFont="1" applyBorder="1"/>
    <xf numFmtId="7" fontId="10" fillId="0" borderId="0" xfId="1" applyNumberFormat="1" applyFont="1" applyBorder="1"/>
    <xf numFmtId="0" fontId="2" fillId="0" borderId="0" xfId="0" applyFont="1" applyAlignment="1">
      <alignment horizontal="left"/>
    </xf>
    <xf numFmtId="8" fontId="2" fillId="0" borderId="0" xfId="1" applyNumberFormat="1" applyFont="1" applyAlignment="1">
      <alignment horizontal="center" vertical="center"/>
    </xf>
    <xf numFmtId="7" fontId="9" fillId="0" borderId="0" xfId="1" applyNumberFormat="1" applyFont="1" applyFill="1" applyBorder="1"/>
    <xf numFmtId="166" fontId="7" fillId="6" borderId="2" xfId="2" applyNumberFormat="1" applyFont="1" applyFill="1" applyBorder="1" applyAlignment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right"/>
    </xf>
    <xf numFmtId="10" fontId="4" fillId="7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right"/>
    </xf>
    <xf numFmtId="10" fontId="2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10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4" fillId="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10" fontId="2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right"/>
    </xf>
    <xf numFmtId="0" fontId="9" fillId="2" borderId="0" xfId="0" applyFont="1" applyFill="1" applyBorder="1" applyAlignment="1">
      <alignment horizontal="right"/>
    </xf>
    <xf numFmtId="10" fontId="9" fillId="2" borderId="3" xfId="0" applyNumberFormat="1" applyFont="1" applyFill="1" applyBorder="1" applyAlignment="1">
      <alignment horizontal="center"/>
    </xf>
    <xf numFmtId="10" fontId="4" fillId="8" borderId="1" xfId="0" applyNumberFormat="1" applyFont="1" applyFill="1" applyBorder="1" applyAlignment="1">
      <alignment horizontal="center"/>
    </xf>
    <xf numFmtId="10" fontId="4" fillId="9" borderId="1" xfId="0" applyNumberFormat="1" applyFont="1" applyFill="1" applyBorder="1" applyAlignment="1">
      <alignment horizontal="center"/>
    </xf>
    <xf numFmtId="10" fontId="4" fillId="1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8BD2E5"/>
      <color rgb="FFB2DAF8"/>
      <color rgb="FFB2E4F8"/>
      <color rgb="FFB6E5F8"/>
      <color rgb="FFA0DDF6"/>
      <color rgb="FF8FD8F5"/>
      <color rgb="FF7CD2F4"/>
      <color rgb="FFCFEDFD"/>
      <color rgb="FFD0F7FC"/>
      <color rgb="FFE3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8448-DF75-46E1-A772-04F83818F141}">
  <dimension ref="A1:D18"/>
  <sheetViews>
    <sheetView zoomScale="78" zoomScaleNormal="78" workbookViewId="0">
      <selection activeCell="C11" sqref="C11"/>
    </sheetView>
  </sheetViews>
  <sheetFormatPr defaultRowHeight="15" x14ac:dyDescent="0.25"/>
  <cols>
    <col min="2" max="2" width="88.7109375" customWidth="1"/>
    <col min="3" max="3" width="27.28515625" customWidth="1"/>
    <col min="4" max="4" width="42.28515625" bestFit="1" customWidth="1"/>
  </cols>
  <sheetData>
    <row r="1" spans="1:4" ht="36" x14ac:dyDescent="0.55000000000000004">
      <c r="B1" s="105" t="s">
        <v>50</v>
      </c>
      <c r="C1" s="105"/>
      <c r="D1" s="105"/>
    </row>
    <row r="2" spans="1:4" ht="18" customHeight="1" x14ac:dyDescent="0.25"/>
    <row r="3" spans="1:4" ht="36" x14ac:dyDescent="0.55000000000000004">
      <c r="B3" s="88" t="s">
        <v>54</v>
      </c>
      <c r="C3" s="89">
        <v>0.02</v>
      </c>
      <c r="D3" s="3" t="s">
        <v>62</v>
      </c>
    </row>
    <row r="4" spans="1:4" ht="18" customHeight="1" x14ac:dyDescent="0.55000000000000004">
      <c r="B4" s="2"/>
      <c r="C4" s="44"/>
      <c r="D4" s="3"/>
    </row>
    <row r="5" spans="1:4" ht="36" x14ac:dyDescent="0.55000000000000004">
      <c r="B5" s="90" t="s">
        <v>61</v>
      </c>
      <c r="C5" s="91">
        <v>0.04</v>
      </c>
      <c r="D5" s="3" t="s">
        <v>58</v>
      </c>
    </row>
    <row r="6" spans="1:4" ht="36.75" thickBot="1" x14ac:dyDescent="0.6">
      <c r="B6" s="90" t="s">
        <v>53</v>
      </c>
      <c r="C6" s="91">
        <v>0.02</v>
      </c>
      <c r="D6" s="83" t="s">
        <v>47</v>
      </c>
    </row>
    <row r="7" spans="1:4" ht="36.75" thickBot="1" x14ac:dyDescent="0.6">
      <c r="B7" s="92" t="s">
        <v>60</v>
      </c>
      <c r="C7" s="102">
        <f>+C5+C6</f>
        <v>0.06</v>
      </c>
      <c r="D7" s="3" t="s">
        <v>46</v>
      </c>
    </row>
    <row r="8" spans="1:4" ht="18" customHeight="1" x14ac:dyDescent="0.55000000000000004">
      <c r="B8" s="2"/>
      <c r="C8" s="45"/>
      <c r="D8" s="3"/>
    </row>
    <row r="9" spans="1:4" ht="36" x14ac:dyDescent="0.55000000000000004">
      <c r="A9" t="s">
        <v>29</v>
      </c>
      <c r="B9" s="93" t="s">
        <v>56</v>
      </c>
      <c r="C9" s="94">
        <v>0.01</v>
      </c>
      <c r="D9" s="3"/>
    </row>
    <row r="10" spans="1:4" ht="36.75" thickBot="1" x14ac:dyDescent="0.6">
      <c r="B10" s="93" t="s">
        <v>49</v>
      </c>
      <c r="C10" s="95">
        <v>1</v>
      </c>
      <c r="D10" s="3" t="s">
        <v>63</v>
      </c>
    </row>
    <row r="11" spans="1:4" ht="36.75" thickBot="1" x14ac:dyDescent="0.6">
      <c r="B11" s="96" t="s">
        <v>57</v>
      </c>
      <c r="C11" s="103">
        <f>+C3+C10*C9</f>
        <v>0.03</v>
      </c>
      <c r="D11" s="3"/>
    </row>
    <row r="12" spans="1:4" ht="18" customHeight="1" x14ac:dyDescent="0.25"/>
    <row r="13" spans="1:4" ht="36" customHeight="1" thickBot="1" x14ac:dyDescent="0.6">
      <c r="B13" s="97" t="s">
        <v>55</v>
      </c>
      <c r="C13" s="98">
        <v>0.06</v>
      </c>
      <c r="D13" s="3"/>
    </row>
    <row r="14" spans="1:4" ht="36" customHeight="1" thickBot="1" x14ac:dyDescent="0.6">
      <c r="B14" s="99" t="s">
        <v>28</v>
      </c>
      <c r="C14" s="104">
        <f>+C3+C13</f>
        <v>0.08</v>
      </c>
      <c r="D14" s="3"/>
    </row>
    <row r="15" spans="1:4" ht="18" customHeight="1" thickBot="1" x14ac:dyDescent="0.3"/>
    <row r="16" spans="1:4" ht="37.5" thickTop="1" thickBot="1" x14ac:dyDescent="0.6">
      <c r="B16" s="100" t="s">
        <v>48</v>
      </c>
      <c r="C16" s="101">
        <f>MIN(C7,C11,C14)</f>
        <v>0.03</v>
      </c>
      <c r="D16" s="3"/>
    </row>
    <row r="17" spans="2:3" ht="36.75" thickTop="1" x14ac:dyDescent="0.55000000000000004">
      <c r="B17" s="2"/>
      <c r="C17" s="3"/>
    </row>
    <row r="18" spans="2:3" ht="36" x14ac:dyDescent="0.55000000000000004">
      <c r="B18" s="2"/>
      <c r="C18" s="3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"/>
  <sheetViews>
    <sheetView zoomScale="75" zoomScaleNormal="75" workbookViewId="0">
      <selection activeCell="B1" sqref="B1:F1"/>
    </sheetView>
  </sheetViews>
  <sheetFormatPr defaultColWidth="9.140625" defaultRowHeight="36" customHeight="1" x14ac:dyDescent="0.55000000000000004"/>
  <cols>
    <col min="1" max="1" width="9.7109375" style="1" customWidth="1"/>
    <col min="2" max="2" width="19.85546875" style="1" customWidth="1"/>
    <col min="3" max="3" width="23.140625" style="1" bestFit="1" customWidth="1"/>
    <col min="4" max="4" width="36.7109375" style="1" customWidth="1"/>
    <col min="5" max="5" width="32.7109375" style="1" customWidth="1"/>
    <col min="6" max="6" width="32.5703125" style="1" bestFit="1" customWidth="1"/>
    <col min="7" max="7" width="13" style="1" bestFit="1" customWidth="1"/>
    <col min="8" max="16384" width="9.140625" style="1"/>
  </cols>
  <sheetData>
    <row r="1" spans="1:8" ht="36" customHeight="1" x14ac:dyDescent="0.55000000000000004">
      <c r="B1" s="105" t="s">
        <v>16</v>
      </c>
      <c r="C1" s="105"/>
      <c r="D1" s="105"/>
      <c r="E1" s="105"/>
      <c r="F1" s="105"/>
    </row>
    <row r="2" spans="1:8" ht="18.600000000000001" customHeight="1" thickBot="1" x14ac:dyDescent="0.6"/>
    <row r="3" spans="1:8" ht="36" customHeight="1" thickBot="1" x14ac:dyDescent="0.6">
      <c r="B3" s="18" t="s">
        <v>0</v>
      </c>
      <c r="C3" s="18" t="s">
        <v>1</v>
      </c>
      <c r="D3" s="18" t="s">
        <v>2</v>
      </c>
      <c r="E3" s="18" t="s">
        <v>3</v>
      </c>
      <c r="F3" s="18" t="s">
        <v>4</v>
      </c>
    </row>
    <row r="4" spans="1:8" ht="36" customHeight="1" x14ac:dyDescent="0.55000000000000004">
      <c r="A4" s="2" t="s">
        <v>5</v>
      </c>
      <c r="B4" s="3">
        <f>30*12</f>
        <v>360</v>
      </c>
      <c r="C4" s="4">
        <f>6%/12</f>
        <v>5.0000000000000001E-3</v>
      </c>
      <c r="D4" s="5">
        <v>1000000</v>
      </c>
      <c r="E4" s="26">
        <f>PMT(C4,B4,D4,F4)</f>
        <v>-5995.5052515275229</v>
      </c>
      <c r="F4" s="19">
        <v>0</v>
      </c>
    </row>
    <row r="5" spans="1:8" ht="18.600000000000001" customHeight="1" x14ac:dyDescent="0.55000000000000004">
      <c r="A5" s="2"/>
      <c r="B5" s="3"/>
      <c r="C5" s="4"/>
      <c r="D5" s="5"/>
      <c r="E5" s="26"/>
      <c r="F5" s="19"/>
    </row>
    <row r="6" spans="1:8" ht="36" customHeight="1" x14ac:dyDescent="0.55000000000000004">
      <c r="A6" s="2" t="s">
        <v>6</v>
      </c>
      <c r="B6" s="3">
        <f>30*12</f>
        <v>360</v>
      </c>
      <c r="C6" s="4">
        <f>6%/12</f>
        <v>5.0000000000000001E-3</v>
      </c>
      <c r="D6" s="6">
        <v>500000</v>
      </c>
      <c r="E6" s="26">
        <f>PMT(C6,B6,D6,F6)</f>
        <v>-2997.7526257637614</v>
      </c>
      <c r="F6" s="19">
        <v>0</v>
      </c>
    </row>
    <row r="7" spans="1:8" ht="36" customHeight="1" x14ac:dyDescent="0.55000000000000004">
      <c r="A7" s="2" t="s">
        <v>7</v>
      </c>
      <c r="B7" s="3">
        <f>30*12</f>
        <v>360</v>
      </c>
      <c r="C7" s="7">
        <f>12%/12</f>
        <v>0.01</v>
      </c>
      <c r="D7" s="5">
        <v>500000</v>
      </c>
      <c r="E7" s="26">
        <f>PMT(+C7,+B7,+D7,+F7)</f>
        <v>-5143.0629846275224</v>
      </c>
      <c r="F7" s="19">
        <v>0</v>
      </c>
    </row>
    <row r="8" spans="1:8" ht="18.600000000000001" customHeight="1" x14ac:dyDescent="0.55000000000000004">
      <c r="A8" s="2"/>
      <c r="B8" s="3"/>
      <c r="C8" s="7"/>
      <c r="D8" s="5"/>
      <c r="E8" s="20"/>
      <c r="F8" s="19"/>
    </row>
    <row r="9" spans="1:8" ht="36" customHeight="1" x14ac:dyDescent="0.55000000000000004">
      <c r="A9" s="2" t="s">
        <v>8</v>
      </c>
      <c r="B9" s="3">
        <f>30*12</f>
        <v>360</v>
      </c>
      <c r="C9" s="7">
        <f>5.5%/12</f>
        <v>4.5833333333333334E-3</v>
      </c>
      <c r="D9" s="5">
        <v>500000</v>
      </c>
      <c r="E9" s="26">
        <f>PMT(+C9,+B9,+D9,+F9)</f>
        <v>-2838.9450067350144</v>
      </c>
      <c r="F9" s="19">
        <v>0</v>
      </c>
    </row>
    <row r="10" spans="1:8" ht="36" customHeight="1" x14ac:dyDescent="0.55000000000000004">
      <c r="A10" s="2" t="s">
        <v>9</v>
      </c>
      <c r="B10" s="3">
        <f>30*12</f>
        <v>360</v>
      </c>
      <c r="C10" s="7">
        <f>6%/12</f>
        <v>5.0000000000000001E-3</v>
      </c>
      <c r="D10" s="46">
        <f>PV(C10,B10,E10,F10)</f>
        <v>473512.22084438708</v>
      </c>
      <c r="E10" s="19">
        <f>+E9</f>
        <v>-2838.9450067350144</v>
      </c>
      <c r="F10" s="19">
        <v>0</v>
      </c>
    </row>
    <row r="11" spans="1:8" ht="30" customHeight="1" x14ac:dyDescent="0.55000000000000004">
      <c r="A11" s="2"/>
      <c r="B11" s="3"/>
      <c r="C11" s="7"/>
      <c r="D11" s="8">
        <f>+(D9-D10)/D9</f>
        <v>5.297555831122585E-2</v>
      </c>
      <c r="E11" s="23" t="s">
        <v>17</v>
      </c>
      <c r="F11" s="19"/>
    </row>
    <row r="12" spans="1:8" ht="36" customHeight="1" x14ac:dyDescent="0.55000000000000004">
      <c r="A12" s="2" t="s">
        <v>10</v>
      </c>
      <c r="B12" s="9">
        <v>96</v>
      </c>
      <c r="C12" s="4">
        <f>5.5%/12</f>
        <v>4.5833333333333334E-3</v>
      </c>
      <c r="D12" s="5">
        <v>500000</v>
      </c>
      <c r="E12" s="19">
        <f>+E9</f>
        <v>-2838.9450067350144</v>
      </c>
      <c r="F12" s="26">
        <f>FV(C12,B12,E12,D12)</f>
        <v>-434189.6255069297</v>
      </c>
      <c r="G12" s="17">
        <f>-F12/D12</f>
        <v>0.86837925101385938</v>
      </c>
      <c r="H12" s="17"/>
    </row>
    <row r="13" spans="1:8" ht="36" customHeight="1" x14ac:dyDescent="0.55000000000000004">
      <c r="A13" s="10" t="s">
        <v>11</v>
      </c>
      <c r="B13" s="11">
        <f>+B12</f>
        <v>96</v>
      </c>
      <c r="C13" s="27">
        <f>RATE(B13,E13,D13,F13)</f>
        <v>5.0005947441261614E-3</v>
      </c>
      <c r="D13" s="12">
        <f>+D12-0.03*D12</f>
        <v>485000</v>
      </c>
      <c r="E13" s="21">
        <f>+E9</f>
        <v>-2838.9450067350144</v>
      </c>
      <c r="F13" s="21">
        <f>+F12</f>
        <v>-434189.6255069297</v>
      </c>
    </row>
    <row r="14" spans="1:8" ht="18.600000000000001" customHeight="1" x14ac:dyDescent="0.55000000000000004">
      <c r="A14" s="13"/>
      <c r="B14" s="14"/>
      <c r="C14" s="15"/>
      <c r="D14" s="16"/>
      <c r="E14" s="22"/>
      <c r="F14" s="22"/>
    </row>
    <row r="15" spans="1:8" ht="36" customHeight="1" x14ac:dyDescent="0.55000000000000004">
      <c r="A15" s="2" t="s">
        <v>12</v>
      </c>
      <c r="B15" s="3">
        <f t="shared" ref="B15:B16" si="0">30*12</f>
        <v>360</v>
      </c>
      <c r="C15" s="7">
        <f>5%/12</f>
        <v>4.1666666666666666E-3</v>
      </c>
      <c r="D15" s="5">
        <v>500000</v>
      </c>
      <c r="E15" s="26">
        <f>PMT(+C15,+B15,+D15,+F15)</f>
        <v>-2684.1081150606951</v>
      </c>
      <c r="F15" s="19">
        <v>0</v>
      </c>
    </row>
    <row r="16" spans="1:8" ht="36" customHeight="1" x14ac:dyDescent="0.55000000000000004">
      <c r="A16" s="2" t="s">
        <v>13</v>
      </c>
      <c r="B16" s="3">
        <f t="shared" si="0"/>
        <v>360</v>
      </c>
      <c r="C16" s="7">
        <f>6%/12</f>
        <v>5.0000000000000001E-3</v>
      </c>
      <c r="D16" s="46">
        <f>+PV(0.06/12,30*12,+E16,0)</f>
        <v>447686.7257145365</v>
      </c>
      <c r="E16" s="19">
        <f>+E15</f>
        <v>-2684.1081150606951</v>
      </c>
      <c r="F16" s="19">
        <v>0</v>
      </c>
    </row>
    <row r="17" spans="1:6" ht="36" customHeight="1" x14ac:dyDescent="0.55000000000000004">
      <c r="A17" s="2" t="s">
        <v>14</v>
      </c>
      <c r="B17" s="9">
        <v>41</v>
      </c>
      <c r="C17" s="4">
        <f>5%/12</f>
        <v>4.1666666666666666E-3</v>
      </c>
      <c r="D17" s="5">
        <v>500000</v>
      </c>
      <c r="E17" s="19">
        <f>+E15</f>
        <v>-2684.1081150606951</v>
      </c>
      <c r="F17" s="26">
        <f>FV(C17,B17,E17,D17)</f>
        <v>-473199.86148382962</v>
      </c>
    </row>
    <row r="18" spans="1:6" ht="36" customHeight="1" x14ac:dyDescent="0.55000000000000004">
      <c r="A18" s="10" t="s">
        <v>15</v>
      </c>
      <c r="B18" s="11">
        <f>+B17</f>
        <v>41</v>
      </c>
      <c r="C18" s="27">
        <f>RATE(B18,E18,D18,F18)</f>
        <v>4.9980747523054045E-3</v>
      </c>
      <c r="D18" s="12">
        <f>+D17-0.03*D17</f>
        <v>485000</v>
      </c>
      <c r="E18" s="21">
        <f>+E15</f>
        <v>-2684.1081150606951</v>
      </c>
      <c r="F18" s="21">
        <f>+F17</f>
        <v>-473199.86148382962</v>
      </c>
    </row>
    <row r="19" spans="1:6" ht="36" customHeight="1" x14ac:dyDescent="0.55000000000000004">
      <c r="B19" s="28" t="s">
        <v>18</v>
      </c>
      <c r="C19" s="29"/>
      <c r="D19" s="30" t="s">
        <v>19</v>
      </c>
      <c r="E19" s="3"/>
      <c r="F19" s="3"/>
    </row>
    <row r="20" spans="1:6" ht="36" customHeight="1" x14ac:dyDescent="0.55000000000000004">
      <c r="A20" s="24"/>
      <c r="D20" s="25"/>
      <c r="E20" s="3"/>
      <c r="F20" s="3"/>
    </row>
  </sheetData>
  <mergeCells count="1">
    <mergeCell ref="B1:F1"/>
  </mergeCells>
  <pageMargins left="0.7" right="0.7" top="0.75" bottom="0.75" header="0.3" footer="0.3"/>
  <pageSetup scale="75" orientation="landscape" r:id="rId1"/>
  <ignoredErrors>
    <ignoredError sqref="C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BCCE-75A2-424E-B4CA-8EF24EFCAB95}">
  <dimension ref="B1:G20"/>
  <sheetViews>
    <sheetView tabSelected="1" zoomScale="69" zoomScaleNormal="69" workbookViewId="0">
      <selection activeCell="D9" sqref="D9"/>
    </sheetView>
  </sheetViews>
  <sheetFormatPr defaultRowHeight="36" customHeight="1" x14ac:dyDescent="0.25"/>
  <cols>
    <col min="1" max="1" width="9.7109375" customWidth="1"/>
    <col min="2" max="3" width="19.85546875" customWidth="1"/>
    <col min="4" max="4" width="32.7109375" bestFit="1" customWidth="1"/>
    <col min="5" max="5" width="40.85546875" customWidth="1"/>
    <col min="6" max="6" width="32.7109375" customWidth="1"/>
    <col min="7" max="7" width="42.85546875" bestFit="1" customWidth="1"/>
  </cols>
  <sheetData>
    <row r="1" spans="2:7" ht="36" customHeight="1" x14ac:dyDescent="0.55000000000000004">
      <c r="B1" s="105" t="s">
        <v>32</v>
      </c>
      <c r="C1" s="105"/>
      <c r="D1" s="105"/>
      <c r="E1" s="105"/>
      <c r="F1" s="105"/>
      <c r="G1" s="105"/>
    </row>
    <row r="2" spans="2:7" ht="18" customHeight="1" x14ac:dyDescent="0.55000000000000004">
      <c r="B2" s="1"/>
      <c r="C2" s="50"/>
      <c r="D2" s="50"/>
      <c r="E2" s="60"/>
      <c r="F2" s="60"/>
      <c r="G2" s="60"/>
    </row>
    <row r="3" spans="2:7" ht="30.6" customHeight="1" x14ac:dyDescent="0.25">
      <c r="B3" s="53" t="s">
        <v>40</v>
      </c>
      <c r="C3" s="52"/>
      <c r="D3" s="74">
        <v>1000000</v>
      </c>
      <c r="E3" s="60"/>
      <c r="F3" s="60"/>
      <c r="G3" s="60"/>
    </row>
    <row r="4" spans="2:7" ht="30.6" customHeight="1" x14ac:dyDescent="0.25">
      <c r="B4" s="53" t="s">
        <v>36</v>
      </c>
      <c r="C4" s="52"/>
      <c r="D4" s="70">
        <v>0.06</v>
      </c>
      <c r="E4" s="68" t="s">
        <v>41</v>
      </c>
      <c r="F4" s="60"/>
      <c r="G4" s="60"/>
    </row>
    <row r="5" spans="2:7" ht="30.6" customHeight="1" x14ac:dyDescent="0.25">
      <c r="B5" s="53" t="s">
        <v>37</v>
      </c>
      <c r="C5" s="52"/>
      <c r="D5" s="75">
        <v>15</v>
      </c>
      <c r="E5" s="68" t="s">
        <v>38</v>
      </c>
      <c r="F5" s="60"/>
      <c r="G5" s="60"/>
    </row>
    <row r="6" spans="2:7" ht="30.6" customHeight="1" x14ac:dyDescent="0.25">
      <c r="B6" s="53" t="s">
        <v>39</v>
      </c>
      <c r="C6" s="52"/>
      <c r="D6" s="75">
        <v>15</v>
      </c>
      <c r="E6" s="68" t="s">
        <v>38</v>
      </c>
      <c r="F6" s="60"/>
      <c r="G6" s="60"/>
    </row>
    <row r="7" spans="2:7" ht="30.6" customHeight="1" x14ac:dyDescent="0.25">
      <c r="B7" s="53" t="s">
        <v>33</v>
      </c>
      <c r="C7" s="54"/>
      <c r="D7" s="86">
        <v>0.04</v>
      </c>
      <c r="E7" s="68" t="s">
        <v>42</v>
      </c>
      <c r="F7" s="60"/>
      <c r="G7" s="60"/>
    </row>
    <row r="8" spans="2:7" ht="30.6" customHeight="1" x14ac:dyDescent="0.25">
      <c r="B8" s="53" t="s">
        <v>34</v>
      </c>
      <c r="C8" s="54"/>
      <c r="D8" s="87">
        <v>0</v>
      </c>
      <c r="E8" s="68" t="s">
        <v>42</v>
      </c>
      <c r="F8" s="60"/>
      <c r="G8" s="60"/>
    </row>
    <row r="9" spans="2:7" ht="30.6" customHeight="1" x14ac:dyDescent="0.25">
      <c r="B9" s="53" t="s">
        <v>35</v>
      </c>
      <c r="C9" s="53"/>
      <c r="D9" s="71">
        <v>0</v>
      </c>
      <c r="E9" s="68" t="s">
        <v>59</v>
      </c>
      <c r="F9" s="52"/>
    </row>
    <row r="10" spans="2:7" ht="30.6" customHeight="1" x14ac:dyDescent="0.25">
      <c r="B10" s="53" t="s">
        <v>44</v>
      </c>
      <c r="C10" s="52"/>
      <c r="D10" s="78" t="s">
        <v>43</v>
      </c>
      <c r="E10" s="68" t="s">
        <v>38</v>
      </c>
      <c r="F10" s="60"/>
      <c r="G10" s="60"/>
    </row>
    <row r="11" spans="2:7" ht="18" customHeight="1" thickBot="1" x14ac:dyDescent="0.3">
      <c r="B11" s="51"/>
      <c r="C11" s="61"/>
      <c r="D11" s="61"/>
      <c r="E11" s="61"/>
      <c r="F11" s="61"/>
      <c r="G11" s="61"/>
    </row>
    <row r="12" spans="2:7" ht="36" customHeight="1" thickBot="1" x14ac:dyDescent="0.3">
      <c r="B12" s="51"/>
      <c r="C12" s="56" t="s">
        <v>0</v>
      </c>
      <c r="D12" s="56" t="s">
        <v>1</v>
      </c>
      <c r="E12" s="56" t="s">
        <v>2</v>
      </c>
      <c r="F12" s="56" t="s">
        <v>3</v>
      </c>
      <c r="G12" s="56" t="s">
        <v>4</v>
      </c>
    </row>
    <row r="13" spans="2:7" ht="18" customHeight="1" x14ac:dyDescent="0.25">
      <c r="B13" s="55"/>
      <c r="C13" s="55"/>
      <c r="D13" s="55"/>
      <c r="E13" s="55"/>
      <c r="F13" s="55"/>
      <c r="G13" s="55"/>
    </row>
    <row r="14" spans="2:7" ht="36" customHeight="1" x14ac:dyDescent="0.25">
      <c r="B14" s="57" t="s">
        <v>25</v>
      </c>
      <c r="C14" s="58">
        <f>IF(ISTEXT(D5),D6*12,IF(D5&lt;1,"Oops",D5*12))</f>
        <v>180</v>
      </c>
      <c r="D14" s="72">
        <f>D4/12</f>
        <v>5.0000000000000001E-3</v>
      </c>
      <c r="E14" s="76">
        <f>+D3</f>
        <v>1000000</v>
      </c>
      <c r="F14" s="77">
        <f>PMT(D14,C14,E14,G14)</f>
        <v>-8438.5682804845128</v>
      </c>
      <c r="G14" s="76">
        <f>IF(D5="none",-D3,0)</f>
        <v>0</v>
      </c>
    </row>
    <row r="15" spans="2:7" ht="36" customHeight="1" x14ac:dyDescent="0.25">
      <c r="B15" s="57" t="str">
        <f>IF(OR(D6&lt;D5,D10&lt;D6),"Step 2:",IF(D6&gt;D5,"Oops",""))</f>
        <v/>
      </c>
      <c r="C15" s="58">
        <f>IF(OR(D10&lt;=0,D6&gt;D5),"Oops",IF(D6&lt;=D5,IF(OR(ISTEXT(D10),D10=D6),D6*12,D10*12)))</f>
        <v>180</v>
      </c>
      <c r="D15" s="69">
        <f>+D14</f>
        <v>5.0000000000000001E-3</v>
      </c>
      <c r="E15" s="84">
        <f>+E14</f>
        <v>1000000</v>
      </c>
      <c r="F15" s="60">
        <f>+F14</f>
        <v>-8438.5682804845128</v>
      </c>
      <c r="G15" s="77">
        <f>IF(OR(D10&lt;=0,D6&gt;D5),"Oops",FV(D15,C15,F15,E15))</f>
        <v>-4.6100467443466187E-8</v>
      </c>
    </row>
    <row r="16" spans="2:7" ht="36" customHeight="1" x14ac:dyDescent="0.25">
      <c r="B16" s="57" t="str">
        <f>IF(OR(D6&lt;D5,D10&lt;D6),"Step 3:",IF(D6=D5,"Step 2:","Oops"))</f>
        <v>Step 2:</v>
      </c>
      <c r="C16" s="61">
        <f>+C15</f>
        <v>180</v>
      </c>
      <c r="D16" s="73">
        <f>IF(OR(D6&gt;D5,D10&lt;=0),"Oops",RATE(C16,F16,E16,G16))</f>
        <v>5.5362814025260677E-3</v>
      </c>
      <c r="E16" s="76">
        <f>+E14-D7*E14-D8</f>
        <v>960000</v>
      </c>
      <c r="F16" s="60">
        <f>+F14</f>
        <v>-8438.5682804845128</v>
      </c>
      <c r="G16" s="60">
        <f>IF(OR(D10&lt;=0,D6&gt;D5),"Oops",(G15+IF(D10&lt;D6,D9,0)*G15))</f>
        <v>-4.6100467443466187E-8</v>
      </c>
    </row>
    <row r="17" spans="2:7" ht="18" customHeight="1" thickBot="1" x14ac:dyDescent="0.3">
      <c r="B17" s="57"/>
      <c r="C17" s="61"/>
      <c r="D17" s="63"/>
      <c r="E17" s="59"/>
      <c r="F17" s="60"/>
      <c r="G17" s="60"/>
    </row>
    <row r="18" spans="2:7" ht="36" customHeight="1" thickBot="1" x14ac:dyDescent="0.3">
      <c r="B18" s="51"/>
      <c r="C18" s="51"/>
      <c r="D18" s="80">
        <f>IF(OR(D6&gt;D5,D10&lt;=0),"Oops",IF(OR(D6&gt;=D10,ISTEXT(D10)),D16*12, "Default!"))</f>
        <v>6.6435376830312809E-2</v>
      </c>
      <c r="E18" s="64" t="str">
        <f>IF(AND(D6=D5,ISTEXT(D10)),"APR",IF(AND(D10&lt;&gt;"none",D10&lt;D6),"Effective Yield to Prepayment",IF(AND(D10&lt;&gt;"none",D10&gt;D6),"Default!","Effective Yield to Maturity")))</f>
        <v>APR</v>
      </c>
      <c r="F18" s="64"/>
      <c r="G18" s="51"/>
    </row>
    <row r="19" spans="2:7" ht="36" customHeight="1" x14ac:dyDescent="0.25">
      <c r="B19" s="51"/>
      <c r="C19" s="79" t="str">
        <f>IF(OR(D5="none",D5="no",D5="N/A"),"This is an interest-only mortgage loan",IF(D6=D5,"This is a fully amortizing mortgage loan",IF(D6&lt;D5,"This is a partially amortizing mortgage loan with a balloon payment","")))</f>
        <v>This is a fully amortizing mortgage loan</v>
      </c>
      <c r="D19" s="62"/>
      <c r="E19" s="51"/>
      <c r="F19" s="51"/>
      <c r="G19" s="51"/>
    </row>
    <row r="20" spans="2:7" ht="36" customHeight="1" x14ac:dyDescent="0.25">
      <c r="B20" s="51"/>
      <c r="C20" s="65" t="s">
        <v>18</v>
      </c>
      <c r="D20" s="66"/>
      <c r="E20" s="67" t="s">
        <v>19</v>
      </c>
      <c r="F20" s="61"/>
      <c r="G20" s="61"/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zoomScale="75" zoomScaleNormal="75" workbookViewId="0">
      <selection activeCell="E8" sqref="E8"/>
    </sheetView>
  </sheetViews>
  <sheetFormatPr defaultRowHeight="36" customHeight="1" x14ac:dyDescent="0.25"/>
  <cols>
    <col min="2" max="2" width="28.140625" bestFit="1" customWidth="1"/>
    <col min="3" max="3" width="32.85546875" bestFit="1" customWidth="1"/>
    <col min="4" max="4" width="13.85546875" customWidth="1"/>
    <col min="5" max="5" width="36.140625" customWidth="1"/>
    <col min="6" max="6" width="46.7109375" customWidth="1"/>
    <col min="7" max="7" width="43.42578125" bestFit="1" customWidth="1"/>
    <col min="8" max="8" width="42.7109375" bestFit="1" customWidth="1"/>
  </cols>
  <sheetData>
    <row r="1" spans="1:10" ht="36" customHeight="1" x14ac:dyDescent="0.55000000000000004">
      <c r="B1" s="105" t="s">
        <v>52</v>
      </c>
      <c r="C1" s="105"/>
      <c r="D1" s="105"/>
      <c r="E1" s="105"/>
      <c r="F1" s="105"/>
      <c r="G1" s="105"/>
      <c r="H1" s="105"/>
      <c r="I1" s="40"/>
      <c r="J1" s="40"/>
    </row>
    <row r="2" spans="1:10" ht="18" customHeight="1" x14ac:dyDescent="0.7">
      <c r="C2" s="31"/>
      <c r="D2" s="31"/>
      <c r="E2" s="32"/>
      <c r="F2" s="32"/>
      <c r="G2" s="32"/>
      <c r="H2" s="31"/>
    </row>
    <row r="3" spans="1:10" ht="36" customHeight="1" x14ac:dyDescent="0.55000000000000004">
      <c r="B3" s="1"/>
      <c r="C3" s="1"/>
      <c r="D3" s="34" t="s">
        <v>20</v>
      </c>
      <c r="E3" s="81">
        <v>1800000</v>
      </c>
      <c r="F3" s="35"/>
      <c r="G3" s="35"/>
      <c r="H3" s="35"/>
      <c r="I3" s="33"/>
      <c r="J3" s="33"/>
    </row>
    <row r="4" spans="1:10" ht="18" customHeight="1" x14ac:dyDescent="0.55000000000000004">
      <c r="B4" s="1"/>
      <c r="C4" s="35"/>
      <c r="D4" s="35"/>
      <c r="E4" s="35"/>
      <c r="F4" s="35"/>
      <c r="G4" s="35"/>
      <c r="H4" s="35"/>
      <c r="I4" s="33"/>
      <c r="J4" s="33"/>
    </row>
    <row r="5" spans="1:10" ht="36" customHeight="1" x14ac:dyDescent="0.85">
      <c r="B5" s="39" t="s">
        <v>26</v>
      </c>
      <c r="C5" s="36" t="s">
        <v>27</v>
      </c>
      <c r="D5" s="36" t="s">
        <v>21</v>
      </c>
      <c r="E5" s="49" t="s">
        <v>22</v>
      </c>
      <c r="F5" s="36" t="s">
        <v>31</v>
      </c>
      <c r="G5" s="36" t="s">
        <v>23</v>
      </c>
      <c r="H5" s="36" t="s">
        <v>24</v>
      </c>
      <c r="I5" s="33"/>
      <c r="J5" s="33"/>
    </row>
    <row r="6" spans="1:10" ht="36" customHeight="1" x14ac:dyDescent="0.55000000000000004">
      <c r="A6" s="3" t="s">
        <v>5</v>
      </c>
      <c r="B6" s="3" t="s">
        <v>30</v>
      </c>
      <c r="C6" s="43">
        <v>25</v>
      </c>
      <c r="D6" s="37">
        <v>0.7</v>
      </c>
      <c r="E6" s="81">
        <v>1260000</v>
      </c>
      <c r="F6" s="48">
        <v>0.06</v>
      </c>
      <c r="G6" s="41">
        <f>IF(B6="Yes",PMT(F6/12,+C6*12,E6,0),"")</f>
        <v>-8118.1976587174076</v>
      </c>
      <c r="H6" s="41" t="str">
        <f>IF(B6="Yes","",-E6*F6/12)</f>
        <v/>
      </c>
      <c r="I6" s="33"/>
      <c r="J6" s="33"/>
    </row>
    <row r="7" spans="1:10" ht="36" customHeight="1" x14ac:dyDescent="0.55000000000000004">
      <c r="A7" s="3" t="s">
        <v>6</v>
      </c>
      <c r="B7" s="3" t="str">
        <f>+B6</f>
        <v>YES</v>
      </c>
      <c r="C7" s="43">
        <f>+C6</f>
        <v>25</v>
      </c>
      <c r="D7" s="37">
        <v>0.75</v>
      </c>
      <c r="E7" s="82">
        <v>1350000</v>
      </c>
      <c r="F7" s="48">
        <v>6.6000000000000003E-2</v>
      </c>
      <c r="G7" s="42">
        <f>IF(B7="Yes",PMT(F7/12,+C7*12,E7,0),"")</f>
        <v>-9199.8328428786444</v>
      </c>
      <c r="H7" s="42" t="str">
        <f>IF(B7="Yes","",-E7*F7/12)</f>
        <v/>
      </c>
      <c r="I7" s="33"/>
      <c r="J7" s="33"/>
    </row>
    <row r="8" spans="1:10" ht="36" customHeight="1" x14ac:dyDescent="0.55000000000000004">
      <c r="A8" s="3" t="s">
        <v>7</v>
      </c>
      <c r="B8" s="1"/>
      <c r="C8" s="35"/>
      <c r="D8" s="34" t="s">
        <v>45</v>
      </c>
      <c r="E8" s="85">
        <f>+E7-E6</f>
        <v>90000</v>
      </c>
      <c r="F8" s="35"/>
      <c r="G8" s="41">
        <f>IF(B6="Yes",+(G7-G6),"")</f>
        <v>-1081.6351841612368</v>
      </c>
      <c r="H8" s="41" t="str">
        <f>IF(B6="Yes","",+(H7-H6))</f>
        <v/>
      </c>
      <c r="I8" s="33"/>
      <c r="J8" s="33"/>
    </row>
    <row r="9" spans="1:10" ht="18" customHeight="1" thickBot="1" x14ac:dyDescent="0.6">
      <c r="B9" s="1"/>
      <c r="C9" s="35"/>
      <c r="D9" s="34"/>
      <c r="E9" s="38"/>
      <c r="F9" s="35"/>
      <c r="G9" s="41"/>
      <c r="H9" s="41"/>
      <c r="I9" s="33"/>
      <c r="J9" s="33"/>
    </row>
    <row r="10" spans="1:10" ht="36" customHeight="1" thickBot="1" x14ac:dyDescent="0.6">
      <c r="B10" s="1"/>
      <c r="C10" s="35"/>
      <c r="D10" s="35"/>
      <c r="E10" s="34" t="s">
        <v>51</v>
      </c>
      <c r="F10" s="47">
        <f>IF(B6="Yes",RATE(C6*12,G8,E8,0)*12,RATE(C7*12,H8,E8,-E8)*12)</f>
        <v>0.1397458940610975</v>
      </c>
      <c r="I10" s="33"/>
      <c r="J10" s="33"/>
    </row>
    <row r="11" spans="1:10" ht="36" customHeight="1" x14ac:dyDescent="0.55000000000000004">
      <c r="G11" s="34"/>
    </row>
  </sheetData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Adjustable Rate Loans</vt:lpstr>
      <vt:lpstr>Mortgage Calcs</vt:lpstr>
      <vt:lpstr>APR and Effective Yield</vt:lpstr>
      <vt:lpstr>Marginal Borrowing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</dc:creator>
  <cp:lastModifiedBy>Ethan Wong</cp:lastModifiedBy>
  <cp:lastPrinted>2015-10-12T18:40:01Z</cp:lastPrinted>
  <dcterms:created xsi:type="dcterms:W3CDTF">2015-10-12T18:04:52Z</dcterms:created>
  <dcterms:modified xsi:type="dcterms:W3CDTF">2022-02-07T05:34:53Z</dcterms:modified>
</cp:coreProperties>
</file>